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8790" windowHeight="12360" tabRatio="851"/>
  </bookViews>
  <sheets>
    <sheet name="R_REKAPITULACE" sheetId="11" r:id="rId1"/>
    <sheet name="R_VÝSADBA STROMŮ A SOL. KEŘŮ" sheetId="12" r:id="rId2"/>
    <sheet name="R_ZALOŽENÍ ZÁHONŮ_keře" sheetId="13" r:id="rId3"/>
    <sheet name="R_ZALOŽENÍ ZÁHONŮtrvalková část" sheetId="26" r:id="rId4"/>
    <sheet name="R_KVĚTNATÁ LOUKA" sheetId="18" r:id="rId5"/>
    <sheet name="R_ROSTLINNÝ MATERIÁL" sheetId="15" r:id="rId6"/>
    <sheet name="R_RevitalizaceDH_nezpůsobile" sheetId="33" r:id="rId7"/>
    <sheet name="R_RevitalizaceDH_způsobilé nákl" sheetId="32" r:id="rId8"/>
    <sheet name="R_NÁSLEDNÁ PÉČE" sheetId="16" r:id="rId9"/>
    <sheet name="soupiska keře" sheetId="5" r:id="rId10"/>
    <sheet name="soupiska stromy" sheetId="22" r:id="rId11"/>
  </sheets>
  <externalReferences>
    <externalReference r:id="rId12"/>
  </externalReferences>
  <definedNames>
    <definedName name="_xlnm.Print_Titles" localSheetId="9">'soupiska keře'!$A:$C,'soupiska keře'!$9:$22</definedName>
    <definedName name="_xlnm.Print_Area" localSheetId="4">'R_KVĚTNATÁ LOUKA'!$A$1:$H$27</definedName>
    <definedName name="_xlnm.Print_Area" localSheetId="8">'R_NÁSLEDNÁ PÉČE'!$A$1:$H$28</definedName>
    <definedName name="_xlnm.Print_Area" localSheetId="0">R_REKAPITULACE!$A$1:$F$39</definedName>
    <definedName name="_xlnm.Print_Area" localSheetId="6">R_RevitalizaceDH_nezpůsobile!$A$1:$G$25</definedName>
    <definedName name="_xlnm.Print_Area" localSheetId="7">'R_RevitalizaceDH_způsobilé nákl'!$A$1:$G$33</definedName>
    <definedName name="_xlnm.Print_Area" localSheetId="5">'R_ROSTLINNÝ MATERIÁL'!$A$1:$G$123</definedName>
    <definedName name="_xlnm.Print_Area" localSheetId="1">'R_VÝSADBA STROMŮ A SOL. KEŘŮ'!$A$1:$H$43</definedName>
    <definedName name="_xlnm.Print_Area" localSheetId="2">'R_ZALOŽENÍ ZÁHONŮ_keře'!$A$1:$H$31</definedName>
    <definedName name="_xlnm.Print_Area" localSheetId="3">'R_ZALOŽENÍ ZÁHONŮtrvalková část'!$A$1:$H$17</definedName>
    <definedName name="_xlnm.Print_Area" localSheetId="9">'soupiska keře'!$A$1:$DA$64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2" i="15" l="1"/>
  <c r="D40" i="5"/>
  <c r="C18" i="11" l="1"/>
  <c r="C17" i="11"/>
  <c r="H68" i="32" l="1"/>
  <c r="I67" i="32"/>
  <c r="C31" i="32"/>
  <c r="C22" i="33"/>
  <c r="E14" i="33"/>
  <c r="J27" i="12" l="1"/>
  <c r="M11" i="13"/>
  <c r="J33" i="12"/>
  <c r="J37" i="12"/>
  <c r="I28" i="12"/>
  <c r="I86" i="12"/>
  <c r="B14" i="11" l="1"/>
  <c r="H62" i="26"/>
  <c r="I61" i="26"/>
  <c r="C15" i="26"/>
  <c r="H13" i="26"/>
  <c r="E15" i="15" l="1"/>
  <c r="E21" i="15"/>
  <c r="E14" i="15"/>
  <c r="F23" i="22"/>
  <c r="E24" i="15" s="1"/>
  <c r="F24" i="22"/>
  <c r="E41" i="15" s="1"/>
  <c r="F57" i="22"/>
  <c r="G41" i="22" l="1"/>
  <c r="I41" i="22"/>
  <c r="J41" i="22"/>
  <c r="K41" i="22"/>
  <c r="L41" i="22"/>
  <c r="M41" i="22"/>
  <c r="N41" i="22"/>
  <c r="F15" i="22"/>
  <c r="E16" i="15" s="1"/>
  <c r="F16" i="22"/>
  <c r="E17" i="15" s="1"/>
  <c r="F17" i="22"/>
  <c r="E18" i="15" s="1"/>
  <c r="F21" i="22"/>
  <c r="E22" i="15" s="1"/>
  <c r="F22" i="22"/>
  <c r="E23" i="15" s="1"/>
  <c r="F25" i="22"/>
  <c r="E25" i="15" s="1"/>
  <c r="F26" i="22"/>
  <c r="E26" i="15" s="1"/>
  <c r="F27" i="22"/>
  <c r="E27" i="15" s="1"/>
  <c r="F28" i="22"/>
  <c r="E28" i="15" s="1"/>
  <c r="F29" i="22"/>
  <c r="E29" i="15" s="1"/>
  <c r="F30" i="22"/>
  <c r="E30" i="15" s="1"/>
  <c r="F31" i="22"/>
  <c r="E31" i="15" s="1"/>
  <c r="F32" i="22"/>
  <c r="E32" i="15" s="1"/>
  <c r="F33" i="22"/>
  <c r="E33" i="15" s="1"/>
  <c r="F34" i="22"/>
  <c r="E34" i="15" s="1"/>
  <c r="F35" i="22"/>
  <c r="E35" i="15" s="1"/>
  <c r="F36" i="22"/>
  <c r="E36" i="15" s="1"/>
  <c r="F37" i="22"/>
  <c r="E37" i="15" s="1"/>
  <c r="F38" i="22"/>
  <c r="E38" i="15" s="1"/>
  <c r="F39" i="22"/>
  <c r="E39" i="15" s="1"/>
  <c r="F40" i="22"/>
  <c r="B19" i="11"/>
  <c r="E23" i="16"/>
  <c r="E18" i="16"/>
  <c r="E13" i="16"/>
  <c r="E13" i="18"/>
  <c r="E20" i="18" s="1"/>
  <c r="E14" i="18"/>
  <c r="H15" i="18"/>
  <c r="H16" i="18" s="1"/>
  <c r="B21" i="11"/>
  <c r="H20" i="12"/>
  <c r="H19" i="22"/>
  <c r="F19" i="22" s="1"/>
  <c r="E20" i="15" s="1"/>
  <c r="H21" i="5"/>
  <c r="H18" i="22"/>
  <c r="H20" i="5"/>
  <c r="H18" i="13"/>
  <c r="H15" i="13"/>
  <c r="H16" i="13" s="1"/>
  <c r="H25" i="12"/>
  <c r="H16" i="12"/>
  <c r="H17" i="12"/>
  <c r="H19" i="12" s="1"/>
  <c r="E40" i="15" l="1"/>
  <c r="H41" i="22"/>
  <c r="F18" i="22"/>
  <c r="E15" i="18"/>
  <c r="E12" i="18"/>
  <c r="E21" i="18"/>
  <c r="E23" i="18"/>
  <c r="E16" i="18"/>
  <c r="F41" i="22" l="1"/>
  <c r="E19" i="15"/>
  <c r="E42" i="15" s="1"/>
  <c r="E17" i="18"/>
  <c r="E18" i="18" l="1"/>
  <c r="E19" i="18" l="1"/>
  <c r="D57" i="5" l="1"/>
  <c r="D58" i="5"/>
  <c r="D59" i="5"/>
  <c r="D60" i="5"/>
  <c r="D61" i="5"/>
  <c r="D62" i="5"/>
  <c r="D56" i="5"/>
  <c r="D53" i="5"/>
  <c r="D44" i="5"/>
  <c r="D45" i="5"/>
  <c r="D47" i="5"/>
  <c r="D48" i="5"/>
  <c r="D49" i="5"/>
  <c r="D50" i="5"/>
  <c r="D51" i="5"/>
  <c r="D32" i="5"/>
  <c r="E52" i="15" s="1"/>
  <c r="D36" i="5"/>
  <c r="E56" i="15" s="1"/>
  <c r="D37" i="5"/>
  <c r="E57" i="15" s="1"/>
  <c r="D38" i="5"/>
  <c r="E58" i="15" s="1"/>
  <c r="D39" i="5"/>
  <c r="E59" i="15" s="1"/>
  <c r="D27" i="5"/>
  <c r="D28" i="5"/>
  <c r="CK17" i="5"/>
  <c r="CL17" i="5"/>
  <c r="CN17" i="5"/>
  <c r="CO17" i="5"/>
  <c r="CP17" i="5"/>
  <c r="CQ17" i="5"/>
  <c r="D11" i="5"/>
  <c r="D12" i="5"/>
  <c r="D15" i="5"/>
  <c r="Q16" i="5"/>
  <c r="P16" i="5"/>
  <c r="G21" i="5"/>
  <c r="I21" i="5"/>
  <c r="M21" i="5"/>
  <c r="N21" i="5"/>
  <c r="Q21" i="5"/>
  <c r="R21" i="5"/>
  <c r="S21" i="5"/>
  <c r="T21" i="5"/>
  <c r="U21" i="5"/>
  <c r="V21" i="5"/>
  <c r="W21" i="5"/>
  <c r="AB21" i="5"/>
  <c r="AC21" i="5"/>
  <c r="AD21" i="5"/>
  <c r="AE21" i="5"/>
  <c r="AF21" i="5"/>
  <c r="AG21" i="5"/>
  <c r="AH21" i="5"/>
  <c r="AI21" i="5"/>
  <c r="AJ21" i="5"/>
  <c r="AK21" i="5"/>
  <c r="AL21" i="5"/>
  <c r="AM21" i="5"/>
  <c r="AN21" i="5"/>
  <c r="AO21" i="5"/>
  <c r="AP21" i="5"/>
  <c r="AQ21" i="5"/>
  <c r="AR21" i="5"/>
  <c r="AS21" i="5"/>
  <c r="AT21" i="5"/>
  <c r="AU21" i="5"/>
  <c r="AV21" i="5"/>
  <c r="AW21" i="5"/>
  <c r="AX21" i="5"/>
  <c r="AZ21" i="5"/>
  <c r="BA21" i="5"/>
  <c r="BB21" i="5"/>
  <c r="BC21" i="5"/>
  <c r="BD21" i="5"/>
  <c r="BG21" i="5"/>
  <c r="BG20" i="5" s="1"/>
  <c r="BH21" i="5"/>
  <c r="BH20" i="5" s="1"/>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N20" i="5" s="1"/>
  <c r="CO21" i="5"/>
  <c r="CO20" i="5" s="1"/>
  <c r="CP21" i="5"/>
  <c r="CP20" i="5" s="1"/>
  <c r="CQ21" i="5"/>
  <c r="CQ20" i="5" s="1"/>
  <c r="CS21" i="5"/>
  <c r="CT21" i="5"/>
  <c r="CU21" i="5"/>
  <c r="CV21" i="5"/>
  <c r="CW21" i="5"/>
  <c r="CX21" i="5"/>
  <c r="CY21" i="5"/>
  <c r="CZ21" i="5"/>
  <c r="DA21" i="5"/>
  <c r="D42" i="5"/>
  <c r="CW16" i="5"/>
  <c r="CW17" i="5" s="1"/>
  <c r="CX16" i="5"/>
  <c r="CX17" i="5" s="1"/>
  <c r="CZ16" i="5"/>
  <c r="CZ17" i="5" s="1"/>
  <c r="DA16" i="5"/>
  <c r="DA17" i="5" s="1"/>
  <c r="CR46" i="5"/>
  <c r="D46" i="5" s="1"/>
  <c r="CS16" i="5"/>
  <c r="CS17" i="5" s="1"/>
  <c r="CT16" i="5"/>
  <c r="CT17" i="5" s="1"/>
  <c r="CU16" i="5"/>
  <c r="CU17" i="5" s="1"/>
  <c r="CV16" i="5"/>
  <c r="CV17" i="5" s="1"/>
  <c r="CY16" i="5"/>
  <c r="CY17" i="5" s="1"/>
  <c r="CR16" i="5"/>
  <c r="CR17" i="5" s="1"/>
  <c r="B113" i="15"/>
  <c r="B115" i="15"/>
  <c r="D77" i="15"/>
  <c r="D78" i="15"/>
  <c r="D79" i="15"/>
  <c r="D80" i="15"/>
  <c r="D81" i="15"/>
  <c r="D82" i="15"/>
  <c r="D83" i="15"/>
  <c r="D84" i="15"/>
  <c r="D85" i="15"/>
  <c r="D86" i="15"/>
  <c r="D87" i="15"/>
  <c r="D88" i="15"/>
  <c r="D89" i="15"/>
  <c r="D90" i="15"/>
  <c r="D91" i="15"/>
  <c r="D92" i="15"/>
  <c r="D93" i="15"/>
  <c r="D94" i="15"/>
  <c r="D95" i="15"/>
  <c r="D96" i="15"/>
  <c r="D76" i="15"/>
  <c r="B13" i="11"/>
  <c r="F63" i="22"/>
  <c r="E96" i="15" s="1"/>
  <c r="F62" i="22"/>
  <c r="E95" i="15" s="1"/>
  <c r="F49" i="22"/>
  <c r="E82" i="15" s="1"/>
  <c r="F43" i="22"/>
  <c r="E76" i="15" s="1"/>
  <c r="E79" i="15"/>
  <c r="F55" i="22"/>
  <c r="E88" i="15" s="1"/>
  <c r="F48" i="22"/>
  <c r="E81" i="15" s="1"/>
  <c r="F58" i="22"/>
  <c r="E91" i="15" s="1"/>
  <c r="F44" i="22"/>
  <c r="E77" i="15" s="1"/>
  <c r="F53" i="22"/>
  <c r="E86" i="15" s="1"/>
  <c r="F52" i="22"/>
  <c r="E85" i="15" s="1"/>
  <c r="F45" i="22"/>
  <c r="E78" i="15" s="1"/>
  <c r="F51" i="22"/>
  <c r="E84" i="15" s="1"/>
  <c r="F50" i="22"/>
  <c r="E83" i="15" s="1"/>
  <c r="F59" i="22"/>
  <c r="E92" i="15" s="1"/>
  <c r="F61" i="22"/>
  <c r="E94" i="15" s="1"/>
  <c r="F56" i="22"/>
  <c r="E89" i="15" s="1"/>
  <c r="F54" i="22"/>
  <c r="E87" i="15" s="1"/>
  <c r="F60" i="22"/>
  <c r="E93" i="15" s="1"/>
  <c r="F47" i="22"/>
  <c r="E80" i="15" s="1"/>
  <c r="N64" i="22"/>
  <c r="G11" i="22"/>
  <c r="H11" i="22"/>
  <c r="I11" i="22"/>
  <c r="J11" i="22"/>
  <c r="K11" i="22"/>
  <c r="L11" i="22"/>
  <c r="M11" i="22"/>
  <c r="N11" i="22"/>
  <c r="F9" i="22"/>
  <c r="E10" i="15" s="1"/>
  <c r="F10" i="22"/>
  <c r="E11" i="15" s="1"/>
  <c r="H64" i="22"/>
  <c r="I64" i="22"/>
  <c r="J64" i="22"/>
  <c r="K64" i="22"/>
  <c r="L64" i="22"/>
  <c r="M64" i="22"/>
  <c r="G64" i="22"/>
  <c r="Z16" i="5"/>
  <c r="Z17" i="5" s="1"/>
  <c r="Y16" i="5"/>
  <c r="Y17" i="5" s="1"/>
  <c r="M17" i="5"/>
  <c r="S17" i="5"/>
  <c r="AD17" i="5"/>
  <c r="AE17" i="5"/>
  <c r="AG17" i="5"/>
  <c r="AH17" i="5"/>
  <c r="AI17" i="5"/>
  <c r="AJ17" i="5"/>
  <c r="AU17" i="5"/>
  <c r="AV17" i="5"/>
  <c r="AX17" i="5"/>
  <c r="AY17" i="5"/>
  <c r="BG17" i="5"/>
  <c r="BH17" i="5"/>
  <c r="BI17" i="5"/>
  <c r="BX17" i="5"/>
  <c r="BY17" i="5"/>
  <c r="F11" i="22" l="1"/>
  <c r="D68" i="22" s="1"/>
  <c r="F64" i="22"/>
  <c r="D70" i="22" s="1"/>
  <c r="D75" i="22" s="1"/>
  <c r="CT20" i="5"/>
  <c r="CV20" i="5"/>
  <c r="CZ20" i="5"/>
  <c r="DA20" i="5"/>
  <c r="CS20" i="5"/>
  <c r="CY20" i="5"/>
  <c r="CW20" i="5"/>
  <c r="CU20" i="5"/>
  <c r="Q20" i="5"/>
  <c r="CX20" i="5"/>
  <c r="CR21" i="5"/>
  <c r="CR20" i="5" s="1"/>
  <c r="Q17" i="5"/>
  <c r="E97" i="15"/>
  <c r="D69" i="22"/>
  <c r="J80" i="11"/>
  <c r="I75" i="13"/>
  <c r="I74" i="18"/>
  <c r="I77" i="16"/>
  <c r="I81" i="11"/>
  <c r="H87" i="12"/>
  <c r="H76" i="13"/>
  <c r="H75" i="18"/>
  <c r="H78" i="16"/>
  <c r="B16" i="11"/>
  <c r="E24" i="16"/>
  <c r="E37" i="12" l="1"/>
  <c r="E17" i="12"/>
  <c r="E13" i="12"/>
  <c r="E21" i="12"/>
  <c r="D67" i="22"/>
  <c r="E20" i="12"/>
  <c r="D74" i="22"/>
  <c r="E12" i="12" l="1"/>
  <c r="E19" i="12"/>
  <c r="E31" i="12" s="1"/>
  <c r="E26" i="12"/>
  <c r="E69" i="22"/>
  <c r="E22" i="12" s="1"/>
  <c r="E27" i="12" s="1"/>
  <c r="E38" i="12" s="1"/>
  <c r="D73" i="22"/>
  <c r="E11" i="12" s="1"/>
  <c r="E33" i="12"/>
  <c r="E16" i="12" l="1"/>
  <c r="E24" i="12"/>
  <c r="E25" i="12" s="1"/>
  <c r="E30" i="12" s="1"/>
  <c r="E34" i="12"/>
  <c r="E22" i="18"/>
  <c r="E23" i="12" l="1"/>
  <c r="E36" i="12" s="1"/>
  <c r="E32" i="12"/>
  <c r="E35" i="12"/>
  <c r="E14" i="12"/>
  <c r="E18" i="12" l="1"/>
  <c r="E29" i="12" s="1"/>
  <c r="E28" i="12"/>
  <c r="C25" i="18"/>
  <c r="CM16" i="5"/>
  <c r="CA16" i="5"/>
  <c r="CB16" i="5"/>
  <c r="CC16" i="5"/>
  <c r="CD16" i="5"/>
  <c r="CE16" i="5"/>
  <c r="CF16" i="5"/>
  <c r="CG16" i="5"/>
  <c r="CH16" i="5"/>
  <c r="CI16" i="5"/>
  <c r="CJ16" i="5"/>
  <c r="BZ16" i="5"/>
  <c r="AL16" i="5"/>
  <c r="AM16" i="5"/>
  <c r="AN16" i="5"/>
  <c r="AO16" i="5"/>
  <c r="AK16" i="5"/>
  <c r="AF16" i="5"/>
  <c r="AB16" i="5"/>
  <c r="AC16" i="5"/>
  <c r="AA16" i="5"/>
  <c r="AA17" i="5" s="1"/>
  <c r="V16" i="5"/>
  <c r="V17" i="5" l="1"/>
  <c r="V20" i="5"/>
  <c r="CD17" i="5"/>
  <c r="CD20" i="5"/>
  <c r="BZ17" i="5"/>
  <c r="BZ20" i="5"/>
  <c r="AB17" i="5"/>
  <c r="AB20" i="5"/>
  <c r="CB17" i="5"/>
  <c r="CB20" i="5"/>
  <c r="CI17" i="5"/>
  <c r="CI20" i="5"/>
  <c r="CG17" i="5"/>
  <c r="CG20" i="5"/>
  <c r="AM17" i="5"/>
  <c r="AM20" i="5"/>
  <c r="CE17" i="5"/>
  <c r="CE20" i="5"/>
  <c r="AL17" i="5"/>
  <c r="AL20" i="5"/>
  <c r="AC17" i="5"/>
  <c r="AC20" i="5"/>
  <c r="CC17" i="5"/>
  <c r="CC20" i="5"/>
  <c r="CJ17" i="5"/>
  <c r="CJ20" i="5"/>
  <c r="AF17" i="5"/>
  <c r="AF20" i="5"/>
  <c r="CA17" i="5"/>
  <c r="CA20" i="5"/>
  <c r="AK17" i="5"/>
  <c r="AK20" i="5"/>
  <c r="CH17" i="5"/>
  <c r="CH20" i="5"/>
  <c r="CM17" i="5"/>
  <c r="CM20" i="5"/>
  <c r="AO17" i="5"/>
  <c r="AO20" i="5"/>
  <c r="AN17" i="5"/>
  <c r="AN20" i="5"/>
  <c r="CF17" i="5"/>
  <c r="CF20" i="5"/>
  <c r="B116" i="15"/>
  <c r="B114" i="15"/>
  <c r="B112" i="15"/>
  <c r="B111" i="15"/>
  <c r="B110" i="15"/>
  <c r="E105" i="15"/>
  <c r="C16" i="11" l="1"/>
  <c r="I28" i="11" s="1"/>
  <c r="B100" i="15"/>
  <c r="B101" i="15"/>
  <c r="B102" i="15"/>
  <c r="B103" i="15"/>
  <c r="B104" i="15"/>
  <c r="B105" i="15"/>
  <c r="B106" i="15"/>
  <c r="B99" i="15"/>
  <c r="E71" i="15"/>
  <c r="E73" i="15"/>
  <c r="C29" i="13"/>
  <c r="H15" i="12"/>
  <c r="B11" i="11"/>
  <c r="D16" i="11" l="1"/>
  <c r="E16" i="11" s="1"/>
  <c r="F16" i="11" s="1"/>
  <c r="E12" i="15"/>
  <c r="C121" i="15"/>
  <c r="C120" i="15" l="1"/>
  <c r="E15" i="12" l="1"/>
  <c r="C13" i="11" l="1"/>
  <c r="E68" i="15"/>
  <c r="E69" i="15"/>
  <c r="E70" i="15"/>
  <c r="E64" i="15"/>
  <c r="E65" i="15"/>
  <c r="E47" i="15"/>
  <c r="E48" i="15"/>
  <c r="E100" i="15"/>
  <c r="E101" i="15"/>
  <c r="E102" i="15"/>
  <c r="E103" i="15"/>
  <c r="E104" i="15"/>
  <c r="BS16" i="5"/>
  <c r="BN16" i="5"/>
  <c r="BM16" i="5"/>
  <c r="D13" i="11" l="1"/>
  <c r="E13" i="11" s="1"/>
  <c r="BN17" i="5"/>
  <c r="BN20" i="5"/>
  <c r="BM17" i="5"/>
  <c r="BM20" i="5"/>
  <c r="BS17" i="5"/>
  <c r="BS20" i="5"/>
  <c r="E99" i="15"/>
  <c r="E66" i="15"/>
  <c r="E62" i="15"/>
  <c r="E67" i="15"/>
  <c r="F13" i="11" l="1"/>
  <c r="BF24" i="5" l="1"/>
  <c r="BF31" i="5"/>
  <c r="BF33" i="5"/>
  <c r="BE35" i="5"/>
  <c r="BE31" i="5"/>
  <c r="BE33" i="5"/>
  <c r="BE34" i="5"/>
  <c r="BE63" i="5"/>
  <c r="AY26" i="5"/>
  <c r="AY21" i="5" s="1"/>
  <c r="AY20" i="5" s="1"/>
  <c r="BE21" i="5" l="1"/>
  <c r="BF21" i="5"/>
  <c r="AA31" i="5"/>
  <c r="AA33" i="5"/>
  <c r="AA26" i="5"/>
  <c r="AA24" i="5"/>
  <c r="Z63" i="5"/>
  <c r="Z33" i="5"/>
  <c r="Z24" i="5"/>
  <c r="Z31" i="5"/>
  <c r="Z26" i="5"/>
  <c r="Y63" i="5"/>
  <c r="Y33" i="5"/>
  <c r="Y31" i="5"/>
  <c r="Y24" i="5"/>
  <c r="Y26" i="5"/>
  <c r="X63" i="5"/>
  <c r="X43" i="5"/>
  <c r="X24" i="5"/>
  <c r="X31" i="5"/>
  <c r="X33" i="5"/>
  <c r="P35" i="5"/>
  <c r="P34" i="5"/>
  <c r="P26" i="5"/>
  <c r="P31" i="5"/>
  <c r="O26" i="5"/>
  <c r="P24" i="5"/>
  <c r="O31" i="5"/>
  <c r="O24" i="5"/>
  <c r="O34" i="5"/>
  <c r="O35" i="5"/>
  <c r="L43" i="5"/>
  <c r="L63" i="5"/>
  <c r="L31" i="5"/>
  <c r="L26" i="5"/>
  <c r="L24" i="5"/>
  <c r="K26" i="5"/>
  <c r="K24" i="5"/>
  <c r="K31" i="5"/>
  <c r="K43" i="5"/>
  <c r="K63" i="5"/>
  <c r="K52" i="5"/>
  <c r="J31" i="5"/>
  <c r="J24" i="5"/>
  <c r="J43" i="5"/>
  <c r="J63" i="5"/>
  <c r="F63" i="5"/>
  <c r="F52" i="5"/>
  <c r="D52" i="5" s="1"/>
  <c r="F43" i="5"/>
  <c r="E34" i="5"/>
  <c r="E35" i="5"/>
  <c r="E26" i="5"/>
  <c r="E63" i="5"/>
  <c r="E31" i="5"/>
  <c r="E25" i="5"/>
  <c r="F24" i="5"/>
  <c r="F21" i="5" s="1"/>
  <c r="F26" i="5"/>
  <c r="F31" i="5"/>
  <c r="F33" i="5"/>
  <c r="AA21" i="5" l="1"/>
  <c r="AA20" i="5" s="1"/>
  <c r="D26" i="5"/>
  <c r="E46" i="15" s="1"/>
  <c r="E21" i="5"/>
  <c r="D25" i="5"/>
  <c r="E45" i="15" s="1"/>
  <c r="D63" i="5"/>
  <c r="D64" i="5" s="1"/>
  <c r="D35" i="5"/>
  <c r="E55" i="15" s="1"/>
  <c r="D33" i="5"/>
  <c r="E53" i="15" s="1"/>
  <c r="D34" i="5"/>
  <c r="E54" i="15" s="1"/>
  <c r="D43" i="5"/>
  <c r="D54" i="5" s="1"/>
  <c r="Y21" i="5"/>
  <c r="Y20" i="5" s="1"/>
  <c r="O21" i="5"/>
  <c r="J21" i="5"/>
  <c r="L21" i="5"/>
  <c r="P21" i="5"/>
  <c r="P20" i="5" s="1"/>
  <c r="X21" i="5"/>
  <c r="K21" i="5"/>
  <c r="Z21" i="5"/>
  <c r="Z20" i="5" s="1"/>
  <c r="E72" i="15"/>
  <c r="D24" i="5"/>
  <c r="D31" i="5"/>
  <c r="BO16" i="5"/>
  <c r="BP16" i="5"/>
  <c r="BQ16" i="5"/>
  <c r="BV16" i="5"/>
  <c r="BW16" i="5"/>
  <c r="BL16" i="5"/>
  <c r="BK16" i="5"/>
  <c r="BA16" i="5"/>
  <c r="BB16" i="5"/>
  <c r="BC16" i="5"/>
  <c r="BD16" i="5"/>
  <c r="AZ16" i="5"/>
  <c r="AW16" i="5"/>
  <c r="AQ16" i="5"/>
  <c r="AR16" i="5"/>
  <c r="AS16" i="5"/>
  <c r="AP16" i="5"/>
  <c r="BU16" i="5"/>
  <c r="BT16" i="5"/>
  <c r="BR16" i="5"/>
  <c r="BJ16" i="5"/>
  <c r="BF16" i="5"/>
  <c r="BF17" i="5" s="1"/>
  <c r="BE16" i="5"/>
  <c r="AT16" i="5"/>
  <c r="X16" i="5"/>
  <c r="X17" i="5" s="1"/>
  <c r="W16" i="5"/>
  <c r="U16" i="5"/>
  <c r="R16" i="5"/>
  <c r="P17" i="5"/>
  <c r="O16" i="5"/>
  <c r="O17" i="5" s="1"/>
  <c r="L16" i="5"/>
  <c r="L17" i="5" s="1"/>
  <c r="K16" i="5"/>
  <c r="K17" i="5" s="1"/>
  <c r="J16" i="5"/>
  <c r="J17" i="5" s="1"/>
  <c r="I16" i="5"/>
  <c r="E16" i="5"/>
  <c r="D29" i="5" l="1"/>
  <c r="D67" i="5" s="1"/>
  <c r="E20" i="5"/>
  <c r="E51" i="15"/>
  <c r="E60" i="15" s="1"/>
  <c r="D68" i="5"/>
  <c r="X20" i="5"/>
  <c r="AP17" i="5"/>
  <c r="AP20" i="5"/>
  <c r="BB17" i="5"/>
  <c r="BB20" i="5"/>
  <c r="BO17" i="5"/>
  <c r="BO20" i="5"/>
  <c r="K20" i="5"/>
  <c r="L20" i="5"/>
  <c r="J20" i="5"/>
  <c r="AT17" i="5"/>
  <c r="AT20" i="5"/>
  <c r="BA17" i="5"/>
  <c r="BA20" i="5"/>
  <c r="AR17" i="5"/>
  <c r="AR20" i="5"/>
  <c r="O20" i="5"/>
  <c r="BE17" i="5"/>
  <c r="BE20" i="5"/>
  <c r="BK17" i="5"/>
  <c r="BK20" i="5"/>
  <c r="AQ17" i="5"/>
  <c r="AQ20" i="5"/>
  <c r="AW17" i="5"/>
  <c r="AW20" i="5"/>
  <c r="R17" i="5"/>
  <c r="R20" i="5"/>
  <c r="BR17" i="5"/>
  <c r="BR20" i="5"/>
  <c r="AZ17" i="5"/>
  <c r="AZ20" i="5"/>
  <c r="BV17" i="5"/>
  <c r="BV20" i="5"/>
  <c r="U17" i="5"/>
  <c r="U20" i="5"/>
  <c r="BT17" i="5"/>
  <c r="BT20" i="5"/>
  <c r="BD17" i="5"/>
  <c r="BD20" i="5"/>
  <c r="BQ17" i="5"/>
  <c r="BQ20" i="5"/>
  <c r="AS17" i="5"/>
  <c r="AS20" i="5"/>
  <c r="BL17" i="5"/>
  <c r="BL20" i="5"/>
  <c r="BJ17" i="5"/>
  <c r="BJ20" i="5"/>
  <c r="BW17" i="5"/>
  <c r="BW20" i="5"/>
  <c r="I17" i="5"/>
  <c r="I20" i="5"/>
  <c r="W17" i="5"/>
  <c r="W20" i="5"/>
  <c r="BU17" i="5"/>
  <c r="BU20" i="5"/>
  <c r="BC17" i="5"/>
  <c r="BC20" i="5"/>
  <c r="BP17" i="5"/>
  <c r="BP20" i="5"/>
  <c r="BF20" i="5"/>
  <c r="D69" i="5"/>
  <c r="E17" i="5"/>
  <c r="E106" i="15"/>
  <c r="E107" i="15" s="1"/>
  <c r="C123" i="15" s="1"/>
  <c r="E44" i="15"/>
  <c r="E63" i="15"/>
  <c r="G16" i="5"/>
  <c r="F16" i="5"/>
  <c r="H16" i="5"/>
  <c r="E17" i="13" l="1"/>
  <c r="D70" i="5"/>
  <c r="H17" i="5"/>
  <c r="F17" i="5"/>
  <c r="F20" i="5"/>
  <c r="G17" i="5"/>
  <c r="G20" i="5"/>
  <c r="D16" i="5"/>
  <c r="H106" i="15"/>
  <c r="E49" i="15"/>
  <c r="E74" i="15"/>
  <c r="D17" i="5" l="1"/>
  <c r="E12" i="26"/>
  <c r="D71" i="5"/>
  <c r="E15" i="13"/>
  <c r="E13" i="13" s="1"/>
  <c r="C20" i="11"/>
  <c r="E19" i="13"/>
  <c r="E20" i="13" s="1"/>
  <c r="E13" i="26" l="1"/>
  <c r="E11" i="13"/>
  <c r="E12" i="13" s="1"/>
  <c r="E22" i="13"/>
  <c r="L22" i="13" s="1"/>
  <c r="E12" i="16"/>
  <c r="E17" i="16" s="1"/>
  <c r="C19" i="11"/>
  <c r="I20" i="13"/>
  <c r="E14" i="13"/>
  <c r="E16" i="13" s="1"/>
  <c r="E23" i="13"/>
  <c r="E14" i="16"/>
  <c r="E18" i="13"/>
  <c r="H114" i="15"/>
  <c r="E26" i="13"/>
  <c r="I26" i="13" s="1"/>
  <c r="J22" i="13" l="1"/>
  <c r="C15" i="11"/>
  <c r="L23" i="13"/>
  <c r="D19" i="11"/>
  <c r="E27" i="13"/>
  <c r="E19" i="16"/>
  <c r="I27" i="11" l="1"/>
  <c r="E19" i="11"/>
  <c r="F19" i="11" s="1"/>
  <c r="C14" i="11" l="1"/>
  <c r="E22" i="16" l="1"/>
  <c r="C21" i="11" l="1"/>
  <c r="I26" i="11" l="1"/>
  <c r="C12" i="11"/>
  <c r="C22" i="11" s="1"/>
  <c r="D21" i="11"/>
  <c r="E21" i="11" s="1"/>
  <c r="F21" i="11" s="1"/>
  <c r="D14" i="11"/>
  <c r="D12" i="11" l="1"/>
  <c r="D22" i="11" s="1"/>
  <c r="E14" i="11"/>
  <c r="E12" i="11" l="1"/>
  <c r="F12" i="11" s="1"/>
  <c r="F22" i="11" s="1"/>
  <c r="F14" i="11"/>
  <c r="E22" i="11" l="1"/>
</calcChain>
</file>

<file path=xl/sharedStrings.xml><?xml version="1.0" encoding="utf-8"?>
<sst xmlns="http://schemas.openxmlformats.org/spreadsheetml/2006/main" count="1490" uniqueCount="497">
  <si>
    <t>L</t>
  </si>
  <si>
    <t>ŠL</t>
  </si>
  <si>
    <t>N</t>
  </si>
  <si>
    <t>UL</t>
  </si>
  <si>
    <t>LK</t>
  </si>
  <si>
    <t>vhodný pro  trvalky</t>
  </si>
  <si>
    <t xml:space="preserve">CELKEM </t>
  </si>
  <si>
    <t>v současnosti zapojené jehličiny</t>
  </si>
  <si>
    <t>Nepeta fasenii</t>
  </si>
  <si>
    <t>doplnění trvalek / dosadba</t>
  </si>
  <si>
    <t xml:space="preserve">dosadby živých plotů </t>
  </si>
  <si>
    <t>Nízke keře včetně půdopokryvných do 20 cm</t>
  </si>
  <si>
    <t>Keř listnatý- kontejnerovaný, vel. 20 - 40 cm</t>
  </si>
  <si>
    <t>CDRA</t>
  </si>
  <si>
    <t>HIB</t>
  </si>
  <si>
    <t xml:space="preserve">VMI </t>
  </si>
  <si>
    <t>GLY</t>
  </si>
  <si>
    <t>PFMA</t>
  </si>
  <si>
    <t>PFKO</t>
  </si>
  <si>
    <t>HeNU</t>
  </si>
  <si>
    <t>PRMV</t>
  </si>
  <si>
    <t xml:space="preserve">Helianthemum num. </t>
  </si>
  <si>
    <t>PeAHm</t>
  </si>
  <si>
    <t>SDEC</t>
  </si>
  <si>
    <t>GTI</t>
  </si>
  <si>
    <t>VIL</t>
  </si>
  <si>
    <t xml:space="preserve">záhon před parkovištěm potřeba opatřit plůtkem proti průchodu, V BÍZKOSTI NAVRŽEN SOLITÉRNÍ KEŘ VIB. L </t>
  </si>
  <si>
    <t>Prunus tenela ´Fire Hill´</t>
  </si>
  <si>
    <t>Stch</t>
  </si>
  <si>
    <t>Stahys byzantina K9</t>
  </si>
  <si>
    <t>PFHI</t>
  </si>
  <si>
    <t>Calamagrostis ac. ´Karl Forester´</t>
  </si>
  <si>
    <t>SeKa</t>
  </si>
  <si>
    <t>CMA</t>
  </si>
  <si>
    <t>CCKBL</t>
  </si>
  <si>
    <t>Salvia nemorosa</t>
  </si>
  <si>
    <t>SaNe</t>
  </si>
  <si>
    <t>Sedum kamcatchicum</t>
  </si>
  <si>
    <t>CaKaFr</t>
  </si>
  <si>
    <t>Origanum vulgare</t>
  </si>
  <si>
    <t>OrVu</t>
  </si>
  <si>
    <t>LIKVIDACE STÁVAJÍCÍCH KEŘŮ VÝŠKA 50 CM</t>
  </si>
  <si>
    <t>použité druhy</t>
  </si>
  <si>
    <t>zkratky</t>
  </si>
  <si>
    <t>Acer campestre ´Elegant´</t>
  </si>
  <si>
    <t>ACEL</t>
  </si>
  <si>
    <t>Acer campestre ´Red Shine´</t>
  </si>
  <si>
    <t>Tilia tomentosa ´Brabant´</t>
  </si>
  <si>
    <t>Pyrus calleryana ´Chanticleer´</t>
  </si>
  <si>
    <t>Populus tremula</t>
  </si>
  <si>
    <t>Corylus colurna</t>
  </si>
  <si>
    <t>Quercus robur</t>
  </si>
  <si>
    <t>Quercus robur ´Fastigiata Koster´</t>
  </si>
  <si>
    <t>Prunus subritela ´Autumnalis rosea´</t>
  </si>
  <si>
    <t>Acer campestre</t>
  </si>
  <si>
    <t>Betula pendula</t>
  </si>
  <si>
    <t>Amelanchier arborea ´Robin Hill´</t>
  </si>
  <si>
    <t>Prunus 'ACCOLADE'</t>
  </si>
  <si>
    <t xml:space="preserve">celkem </t>
  </si>
  <si>
    <t>Malus ´Scarlet´</t>
  </si>
  <si>
    <t>velikost</t>
  </si>
  <si>
    <t>CCOL</t>
  </si>
  <si>
    <t>ACA</t>
  </si>
  <si>
    <t>ACRS</t>
  </si>
  <si>
    <t>TTBR</t>
  </si>
  <si>
    <t>PCCH</t>
  </si>
  <si>
    <t>PTR</t>
  </si>
  <si>
    <t>QRO</t>
  </si>
  <si>
    <t>QRFKO</t>
  </si>
  <si>
    <t>BPE</t>
  </si>
  <si>
    <t>PACC</t>
  </si>
  <si>
    <t>AARH</t>
  </si>
  <si>
    <t>MAS</t>
  </si>
  <si>
    <t>4. Hřbitovní</t>
  </si>
  <si>
    <t xml:space="preserve">7. Ostrov </t>
  </si>
  <si>
    <t>6. DPS</t>
  </si>
  <si>
    <t>8. Kapitána Jaroše</t>
  </si>
  <si>
    <t>ACEQ</t>
  </si>
  <si>
    <t>BPEF</t>
  </si>
  <si>
    <t>Betula pendula ´Fastigiata´</t>
  </si>
  <si>
    <t>SOJ</t>
  </si>
  <si>
    <t>Sophora japonica</t>
  </si>
  <si>
    <t>LDE</t>
  </si>
  <si>
    <t>PSAR</t>
  </si>
  <si>
    <t>Larix decidua</t>
  </si>
  <si>
    <t>1. Lidická</t>
  </si>
  <si>
    <t>Magnolia soulangiana</t>
  </si>
  <si>
    <t>MS</t>
  </si>
  <si>
    <t>5. Jánský dvůr</t>
  </si>
  <si>
    <t>Ulmus Clacius</t>
  </si>
  <si>
    <t>UCL</t>
  </si>
  <si>
    <t>Sorbus torminalis</t>
  </si>
  <si>
    <t>STO</t>
  </si>
  <si>
    <t>COB</t>
  </si>
  <si>
    <t>Cydonia oblonga</t>
  </si>
  <si>
    <t>SDO</t>
  </si>
  <si>
    <t>Sorbus domestica</t>
  </si>
  <si>
    <t>SPI</t>
  </si>
  <si>
    <t>Staphylea pinnata</t>
  </si>
  <si>
    <t>CD</t>
  </si>
  <si>
    <t>PALIB</t>
  </si>
  <si>
    <t>Syringa chinensis ´Palibin´</t>
  </si>
  <si>
    <t>HYCAL</t>
  </si>
  <si>
    <t>TYP</t>
  </si>
  <si>
    <t>NK</t>
  </si>
  <si>
    <t>20-40</t>
  </si>
  <si>
    <t>40-60</t>
  </si>
  <si>
    <t>Hypericum calycinum</t>
  </si>
  <si>
    <t>Syringa chinensis ´Palibin´20-30cm, K2,5l</t>
  </si>
  <si>
    <t>T</t>
  </si>
  <si>
    <t>Ligustrum vulgare</t>
  </si>
  <si>
    <t>LIV</t>
  </si>
  <si>
    <t>HAN</t>
  </si>
  <si>
    <t>Symphoricarphus chen. ´Hancok´</t>
  </si>
  <si>
    <t>CAN</t>
  </si>
  <si>
    <t>LAX</t>
  </si>
  <si>
    <t>SAN</t>
  </si>
  <si>
    <t>Sambucus nigra</t>
  </si>
  <si>
    <t>VIBO</t>
  </si>
  <si>
    <t>PRUS</t>
  </si>
  <si>
    <t>90a</t>
  </si>
  <si>
    <t>90b</t>
  </si>
  <si>
    <t>90c</t>
  </si>
  <si>
    <t xml:space="preserve">Položkový výkaz výměr je zpracován podle ceníků stavebních prací. U jednotlivých položek výkazu výměr jsou uvedena číselná označení položek ceníku, a to proto, že jsou jimi určeny druhy a kvalita stavebních prací s odkazem na úvodní části ceníku, ve kterých je popsán způsob měření, obsah cen a podstatné dodací a kvalitativní podmínky. Které jsou nutné pro jednoznačné vymezení druhu a kvality stavebních prací. </t>
  </si>
  <si>
    <t>Celkem</t>
  </si>
  <si>
    <t>l</t>
  </si>
  <si>
    <t>KRAJINÁŘSKÉ ÚPRAVY</t>
  </si>
  <si>
    <t>01</t>
  </si>
  <si>
    <t>00</t>
  </si>
  <si>
    <t>Cena celkem s DPH</t>
  </si>
  <si>
    <t>DPH (21%)</t>
  </si>
  <si>
    <t>Cena celkem</t>
  </si>
  <si>
    <t>ZRH</t>
  </si>
  <si>
    <t>Popis</t>
  </si>
  <si>
    <t>Kód / CPV</t>
  </si>
  <si>
    <t>HSV Celkem</t>
  </si>
  <si>
    <t>cena stanovena odhadem</t>
  </si>
  <si>
    <t>ks</t>
  </si>
  <si>
    <t>R</t>
  </si>
  <si>
    <t>počet stromů k výsadbě * 1 m</t>
  </si>
  <si>
    <t>bm</t>
  </si>
  <si>
    <t>počet stromů k výsadbě * 0,5 l</t>
  </si>
  <si>
    <t>kg</t>
  </si>
  <si>
    <t>Půdní kondicionér pro listnaté dřeviny</t>
  </si>
  <si>
    <t xml:space="preserve">součet potřeby vody na dokončovací práci  </t>
  </si>
  <si>
    <r>
      <t xml:space="preserve"> m</t>
    </r>
    <r>
      <rPr>
        <vertAlign val="superscript"/>
        <sz val="8"/>
        <rFont val="Arial Narrow"/>
        <family val="2"/>
        <charset val="238"/>
      </rPr>
      <t>3</t>
    </r>
  </si>
  <si>
    <t>Dovoz vody na zálivku do 1000 m</t>
  </si>
  <si>
    <t>listnatý strom a keř</t>
  </si>
  <si>
    <t>184480-6111</t>
  </si>
  <si>
    <t xml:space="preserve"> počet stromů k výsadbě * 80 l</t>
  </si>
  <si>
    <t>m3</t>
  </si>
  <si>
    <t>18580-4311</t>
  </si>
  <si>
    <t xml:space="preserve"> počet stromů k výsadbě *0,5</t>
  </si>
  <si>
    <t>18410-2116</t>
  </si>
  <si>
    <t>18580-4312</t>
  </si>
  <si>
    <t>Výpočet</t>
  </si>
  <si>
    <t>Cena jednotková</t>
  </si>
  <si>
    <t>Množství celkem</t>
  </si>
  <si>
    <t>MJ</t>
  </si>
  <si>
    <t>Kód položky</t>
  </si>
  <si>
    <t>P.Č.</t>
  </si>
  <si>
    <t>Totální herbicid</t>
  </si>
  <si>
    <t>Voda na zálivku</t>
  </si>
  <si>
    <r>
      <t xml:space="preserve"> m</t>
    </r>
    <r>
      <rPr>
        <vertAlign val="superscript"/>
        <sz val="8"/>
        <rFont val="Arial Narrow"/>
        <family val="2"/>
        <charset val="238"/>
      </rPr>
      <t>2</t>
    </r>
  </si>
  <si>
    <t>Výsadba trvalek v rovině</t>
  </si>
  <si>
    <t>Urovnání terénu hrabáním  v rovině nebo na svahu do 1:5, včetně opravného hrabání</t>
  </si>
  <si>
    <t>součet ploch záhonů</t>
  </si>
  <si>
    <t>Chemické odplevelení před založením, na široko (totální herbicid 5 l / ha) v rovině nebo na svahu do 1:5</t>
  </si>
  <si>
    <t xml:space="preserve">cena celkem </t>
  </si>
  <si>
    <t>cena za ks</t>
  </si>
  <si>
    <t xml:space="preserve">počet ks celkem </t>
  </si>
  <si>
    <t>typ</t>
  </si>
  <si>
    <t>latinský název</t>
  </si>
  <si>
    <t>zkratka</t>
  </si>
  <si>
    <t xml:space="preserve">Celeková cena za následnou údržbu ve třech po sobě jdoucích letech </t>
  </si>
  <si>
    <t xml:space="preserve">Voda na zálivku/ 8x </t>
  </si>
  <si>
    <t>NÁSLEDNÁ ÚDRŽBA V 3.  ROCE</t>
  </si>
  <si>
    <t>NÁSLEDNÁ ÚDRŽBA V 2.  ROCE</t>
  </si>
  <si>
    <t>NÁSLEDNÁ ÚDRŽBA V 1.  ROCE</t>
  </si>
  <si>
    <t>ST</t>
  </si>
  <si>
    <t xml:space="preserve">část: </t>
  </si>
  <si>
    <t xml:space="preserve">Díl: </t>
  </si>
  <si>
    <t>OK12-14 cm, ZB</t>
  </si>
  <si>
    <t>OK10-12 cm, ZB</t>
  </si>
  <si>
    <t>OK 10-12 cm, ZB</t>
  </si>
  <si>
    <t>OK 10-12, ZB</t>
  </si>
  <si>
    <t>OK 8-10 cm, ZB</t>
  </si>
  <si>
    <t>OS</t>
  </si>
  <si>
    <t>v. 175-220 cm, VK</t>
  </si>
  <si>
    <t>OK 12-14 cm, ZB</t>
  </si>
  <si>
    <t xml:space="preserve">„Ozelenění severozápadní části Břeclavi“ 
</t>
  </si>
  <si>
    <t>1-8. severozápadní část Břeclavi</t>
  </si>
  <si>
    <t>ovocné dřeviny, vysokokmen rozvětvený</t>
  </si>
  <si>
    <t xml:space="preserve">alejové stromy, s balem </t>
  </si>
  <si>
    <t xml:space="preserve">okrasné keře s balem, nízké do 20 cm </t>
  </si>
  <si>
    <t xml:space="preserve">Vinca minor </t>
  </si>
  <si>
    <t>K9, 10-20 cm</t>
  </si>
  <si>
    <t xml:space="preserve">Cotoneastr damerii var. radicans </t>
  </si>
  <si>
    <t>K1,5L, 20-30 cm</t>
  </si>
  <si>
    <t>P13, 10-15 cm</t>
  </si>
  <si>
    <t>Cotoneastr damerii var.</t>
  </si>
  <si>
    <t>K2,5L, 20-30 cm</t>
  </si>
  <si>
    <t>SK</t>
  </si>
  <si>
    <t>K2L, 40-60 cm</t>
  </si>
  <si>
    <t xml:space="preserve">Genista lydia </t>
  </si>
  <si>
    <t xml:space="preserve">Potentila fruticosa ´Kobold´ </t>
  </si>
  <si>
    <t xml:space="preserve">Potentila fruticosa ´Manchu´ </t>
  </si>
  <si>
    <t>Spirea decumbens</t>
  </si>
  <si>
    <t xml:space="preserve">Genista tinctoria </t>
  </si>
  <si>
    <t>Prunus spinosa</t>
  </si>
  <si>
    <t xml:space="preserve">Lonicera xylosteum </t>
  </si>
  <si>
    <t>Cornus alba</t>
  </si>
  <si>
    <t>VK</t>
  </si>
  <si>
    <t>K2L, 20-40 cm</t>
  </si>
  <si>
    <t>okrasné trvalky a traviny</t>
  </si>
  <si>
    <t>počet ks</t>
  </si>
  <si>
    <t>TR</t>
  </si>
  <si>
    <t>k13</t>
  </si>
  <si>
    <t xml:space="preserve">okrasné keře s balem, střední do 80 cm </t>
  </si>
  <si>
    <t xml:space="preserve">okrasné keře s balem, vysoké do 4 m </t>
  </si>
  <si>
    <t>CELKEM ZA ROSTLINÝ MATERIÁL</t>
  </si>
  <si>
    <t>datum:</t>
  </si>
  <si>
    <t>prosinec 2019</t>
  </si>
  <si>
    <t>TYP VÝSADBY</t>
  </si>
  <si>
    <t>Zamulčování zálivkové mísy</t>
  </si>
  <si>
    <t>Dřevní štěpka na zamulčování zálivkových mís</t>
  </si>
  <si>
    <t xml:space="preserve">Úvazky z elastického provazu  </t>
  </si>
  <si>
    <t>Kompost s podílem, jílovité složky</t>
  </si>
  <si>
    <t>počet ovocných stromů</t>
  </si>
  <si>
    <t xml:space="preserve">počet  alejových stromů s balem </t>
  </si>
  <si>
    <t>počet keřů</t>
  </si>
  <si>
    <t>počet trvalek</t>
  </si>
  <si>
    <t>dřevní štěpka</t>
  </si>
  <si>
    <t>součet ploch záhonů *3</t>
  </si>
  <si>
    <t>REKAPITULACE</t>
  </si>
  <si>
    <t>BILANČNÍ TABULKA</t>
  </si>
  <si>
    <t>Zpevnění záhonů deskami</t>
  </si>
  <si>
    <r>
      <t xml:space="preserve"> m</t>
    </r>
    <r>
      <rPr>
        <i/>
        <vertAlign val="superscript"/>
        <sz val="8"/>
        <color theme="8" tint="-0.249977111117893"/>
        <rFont val="Arial Narrow"/>
        <family val="2"/>
        <charset val="238"/>
      </rPr>
      <t>3</t>
    </r>
  </si>
  <si>
    <t>SOLITÉRNÍ KEŘE</t>
  </si>
  <si>
    <t>Rosa canina</t>
  </si>
  <si>
    <t>Cornus mas</t>
  </si>
  <si>
    <t>Chaenomeles speciosa</t>
  </si>
  <si>
    <t xml:space="preserve">Sambusus nigra </t>
  </si>
  <si>
    <t>Eonymus fortuneii</t>
  </si>
  <si>
    <t>Amelanchier lamarckii 'Ballerina'</t>
  </si>
  <si>
    <t>Forsythia intermedia ´Weekend´</t>
  </si>
  <si>
    <t>Budelia davidii ´Black knight´</t>
  </si>
  <si>
    <t>60-80 cm, K2,5</t>
  </si>
  <si>
    <t>t</t>
  </si>
  <si>
    <t>m2</t>
  </si>
  <si>
    <t>40-60 cm</t>
  </si>
  <si>
    <t>Trvalky</t>
  </si>
  <si>
    <t>Trvalky a okrasné traviny</t>
  </si>
  <si>
    <t>181 30-1101</t>
  </si>
  <si>
    <t xml:space="preserve">Dřevní štěpka z listnatých dřevin. Štěpka bude bez podílů listí. </t>
  </si>
  <si>
    <t>Kolíky na zpevnění záhonu, délka 10, 2x2cm</t>
  </si>
  <si>
    <t xml:space="preserve">1. ul. Lidická. </t>
  </si>
  <si>
    <t>20 - 40 cm</t>
  </si>
  <si>
    <t>Keř listnatý- kontejnerovaný, vel. 40 - 60 cm</t>
  </si>
  <si>
    <t>trvalky</t>
  </si>
  <si>
    <t>Odplevelení stávajících záhonůy /3  x, Odplevelení bude provedeno po dešti nebo po zálivce, aby byly rostliny vytrhány s kořeny. Plevel bude odvezen na kompost nebo biologickou skládku. Okolí záhonu bude zameteno</t>
  </si>
  <si>
    <t>III.</t>
  </si>
  <si>
    <t>I.</t>
  </si>
  <si>
    <t>IV</t>
  </si>
  <si>
    <t>VIBF</t>
  </si>
  <si>
    <t>Viburnum farerii</t>
  </si>
  <si>
    <t>60-80 cm, K2,6</t>
  </si>
  <si>
    <t>SJSH</t>
  </si>
  <si>
    <t>Nefa</t>
  </si>
  <si>
    <t>HeCo</t>
  </si>
  <si>
    <t>VIBL</t>
  </si>
  <si>
    <t>87č.1</t>
  </si>
  <si>
    <t>87č.2</t>
  </si>
  <si>
    <t>87č.3</t>
  </si>
  <si>
    <t>87č.4</t>
  </si>
  <si>
    <t>87č.5</t>
  </si>
  <si>
    <t>APCL</t>
  </si>
  <si>
    <t>Quercus petrea</t>
  </si>
  <si>
    <t>QPE</t>
  </si>
  <si>
    <t>Acer tatarica</t>
  </si>
  <si>
    <t>ATA</t>
  </si>
  <si>
    <t>BUDA</t>
  </si>
  <si>
    <t>AMBA</t>
  </si>
  <si>
    <t>ROCA</t>
  </si>
  <si>
    <t>PHYS</t>
  </si>
  <si>
    <t>COA</t>
  </si>
  <si>
    <t>Corylus avellana</t>
  </si>
  <si>
    <t>FOWA</t>
  </si>
  <si>
    <t>EFO</t>
  </si>
  <si>
    <t>CHaenomeles japonica</t>
  </si>
  <si>
    <t>CHJAP</t>
  </si>
  <si>
    <t>CHSPE</t>
  </si>
  <si>
    <t>Prunus dulcis, mandloň</t>
  </si>
  <si>
    <t>PRDU</t>
  </si>
  <si>
    <t>Aronia melanocarpa</t>
  </si>
  <si>
    <t>ARME</t>
  </si>
  <si>
    <t>Syringa vulgaris</t>
  </si>
  <si>
    <t>SYVU</t>
  </si>
  <si>
    <t>Viburnum carlesii</t>
  </si>
  <si>
    <t>VIBCA</t>
  </si>
  <si>
    <t>OK 12-14 cm, ZB, vícekmen</t>
  </si>
  <si>
    <t>2. Na Pěšině</t>
  </si>
  <si>
    <t>Pythonia villosa</t>
  </si>
  <si>
    <t>PTVI</t>
  </si>
  <si>
    <t>Kolkwitsia amabilis</t>
  </si>
  <si>
    <t>KWA</t>
  </si>
  <si>
    <t>3.Gen. Šimka</t>
  </si>
  <si>
    <t>Liriodendron tulipifera</t>
  </si>
  <si>
    <t>LITU</t>
  </si>
  <si>
    <t>Physocarphus opulifolia</t>
  </si>
  <si>
    <t>Cotinus cogygria</t>
  </si>
  <si>
    <t>COGA</t>
  </si>
  <si>
    <t>AHIP</t>
  </si>
  <si>
    <t>ALEJOVÉ STROMY</t>
  </si>
  <si>
    <t>II.</t>
  </si>
  <si>
    <t>IV.</t>
  </si>
  <si>
    <t>POČET KS</t>
  </si>
  <si>
    <t>PROSTOKOŘENÉ STROMY</t>
  </si>
  <si>
    <t>alejové stromy</t>
  </si>
  <si>
    <t>prostokořené stromy</t>
  </si>
  <si>
    <t>solitérní keře</t>
  </si>
  <si>
    <t xml:space="preserve">Ukotvení jedním kůlem , délky 1,5 -2 m Ø 6 cm, </t>
  </si>
  <si>
    <t>Ochrana kmene proti ožínání</t>
  </si>
  <si>
    <t xml:space="preserve">Ukotvení dřevin střešními latěmi, včetně obepnutí pletiva kolem střešních latí </t>
  </si>
  <si>
    <r>
      <t>Hloubení jámy přes 0,125 do 0,4 m</t>
    </r>
    <r>
      <rPr>
        <vertAlign val="superscript"/>
        <sz val="8"/>
        <rFont val="Arial Narrow"/>
        <family val="2"/>
        <charset val="238"/>
      </rPr>
      <t>3</t>
    </r>
    <r>
      <rPr>
        <sz val="8"/>
        <rFont val="Arial Narrow"/>
        <family val="2"/>
        <charset val="238"/>
      </rPr>
      <t xml:space="preserve"> se 100% výměnou půdy,  v rovině nebo na svahu do 1:5</t>
    </r>
  </si>
  <si>
    <t>1. VÝSADBA STROMŮ A SOLITÉRNÍCH KEŘŮ</t>
  </si>
  <si>
    <t>SS</t>
  </si>
  <si>
    <t xml:space="preserve">Stavba : </t>
  </si>
  <si>
    <t>okrasné keře s balem, vysoké do 4 m  (solitérní)</t>
  </si>
  <si>
    <t>zapojený ŽP, spirea - řezáno na 50 cm, dopravní kolize, odstranění současného ŽP, dopravní kolize</t>
  </si>
  <si>
    <t>odcloňující výsadba, pás před stavbou</t>
  </si>
  <si>
    <t>odstranění stávajících keřů výška 70 cm, možná dosadby ibišků</t>
  </si>
  <si>
    <t>Potentila fruticosa ´Manchu´</t>
  </si>
  <si>
    <t>Genista tinctoria</t>
  </si>
  <si>
    <t>Viburnum lantana</t>
  </si>
  <si>
    <t>Prunus laur. Mount Vernon</t>
  </si>
  <si>
    <t>Caryopteris clandonensis ´Haewenly blue´</t>
  </si>
  <si>
    <t>LOKALIZACE V RÁMCI ČÁSTI</t>
  </si>
  <si>
    <t>DÉLKA ZÁHONU</t>
  </si>
  <si>
    <t>ŠÍŘKA ZÁHONU</t>
  </si>
  <si>
    <t>TVAR</t>
  </si>
  <si>
    <t>POČET PLOCH K OSÁZENÍ</t>
  </si>
  <si>
    <t>POČET PLOCH K ZAMULČOVÁNÍ</t>
  </si>
  <si>
    <t>POČET PLOCH OVLIVNĚNÝCH</t>
  </si>
  <si>
    <t>CELKEM ROSTLIN K VÝSADBĚ</t>
  </si>
  <si>
    <t>ČÍSLO ZÁHONU</t>
  </si>
  <si>
    <t>PLOCHA V ZÁHONU m2</t>
  </si>
  <si>
    <t>do 20 cm</t>
  </si>
  <si>
    <t xml:space="preserve">TYP VÝSADEB </t>
  </si>
  <si>
    <t>Viburnum opulus</t>
  </si>
  <si>
    <t>Hibscus siriacus,'Manuela', aj.</t>
  </si>
  <si>
    <t>Hemerocalis ´Golden Chimes´</t>
  </si>
  <si>
    <t xml:space="preserve">Penisetum al. ´Hameln´ </t>
  </si>
  <si>
    <t xml:space="preserve">Cotoneastr damerii var. Radicans </t>
  </si>
  <si>
    <t xml:space="preserve">Cotoneastr damerii </t>
  </si>
  <si>
    <t>POČET STROMŮ KS</t>
  </si>
  <si>
    <t>keře</t>
  </si>
  <si>
    <t xml:space="preserve"> m3</t>
  </si>
  <si>
    <t>18310-1315</t>
  </si>
  <si>
    <t>18310-1314</t>
  </si>
  <si>
    <t>18310-1313</t>
  </si>
  <si>
    <t>Prolití jam před výsadbou 25 l na strom, 10 l na keř</t>
  </si>
  <si>
    <t>18420-1112</t>
  </si>
  <si>
    <t xml:space="preserve">Výsadba stromů bez balu  do předem připravené jámy, se zalitím </t>
  </si>
  <si>
    <t>Ukotvení dřeviny třemi kůly , délky 2 m Ø 6 cm, s 6 příčkami a úvazkem</t>
  </si>
  <si>
    <t xml:space="preserve">Příplatek k zalití dřeviny po výsadbě 80 l na rostlinu, 30l na keř </t>
  </si>
  <si>
    <t>184 21-5413</t>
  </si>
  <si>
    <t xml:space="preserve">Zhotovení zálivkové mísy u solitérních dřevin, Ø mísy 1 m </t>
  </si>
  <si>
    <t>184 50-1121</t>
  </si>
  <si>
    <t>184 91-1421</t>
  </si>
  <si>
    <t>všechny solitérní dřeviny</t>
  </si>
  <si>
    <t>Dřevěné kůly se špicí, frézované, délka kůlů 2 m, v horní části Ø 6 cm, v dolní části budou kůly ošetřeny impregnací, dřevěné kůly budou z  vyschlého dřeva</t>
  </si>
  <si>
    <t>Střešní latě, d. 100 cm, průměr 3*5 cm, latě budou ukotveny cca 40 cm do země</t>
  </si>
  <si>
    <t>Vytyčení výsadeb (bude provedeno za  účasti autora projektu)</t>
  </si>
  <si>
    <t>Výsadba stromu s balem do předem připravené jamky se zalitím, průměr balu přes 600 - 800 mm</t>
  </si>
  <si>
    <t>Polopříčky Ø 6 cm, včetně spojovacího materiálu (hřebíků délky 5 cm), polopříčky budou z vyschlého dřeva</t>
  </si>
  <si>
    <t xml:space="preserve">Králičí pletivo na ochranu keřů, včetně drátků potřebných na uchycení pletiva ke střešním latím </t>
  </si>
  <si>
    <t>121 11-2011</t>
  </si>
  <si>
    <t>Uložení zeminy na skládku (zemina s podílem kamenů)</t>
  </si>
  <si>
    <t>součet ploch záhonů x 15 cm</t>
  </si>
  <si>
    <t>množství sejmuté ornice *1,8</t>
  </si>
  <si>
    <t>183 20-5111</t>
  </si>
  <si>
    <t>184 80-2111</t>
  </si>
  <si>
    <t>183 40-3153</t>
  </si>
  <si>
    <r>
      <t xml:space="preserve"> m</t>
    </r>
    <r>
      <rPr>
        <vertAlign val="superscript"/>
        <sz val="9"/>
        <rFont val="Arial Narrow"/>
        <family val="2"/>
        <charset val="238"/>
      </rPr>
      <t>3</t>
    </r>
  </si>
  <si>
    <r>
      <t xml:space="preserve"> m</t>
    </r>
    <r>
      <rPr>
        <vertAlign val="superscript"/>
        <sz val="9"/>
        <rFont val="Arial Narrow"/>
        <family val="2"/>
        <charset val="238"/>
      </rPr>
      <t>2</t>
    </r>
  </si>
  <si>
    <r>
      <t xml:space="preserve"> m</t>
    </r>
    <r>
      <rPr>
        <vertAlign val="superscript"/>
        <sz val="9"/>
        <rFont val="Arial Narrow"/>
        <family val="2"/>
        <charset val="238"/>
      </rPr>
      <t>2</t>
    </r>
    <r>
      <rPr>
        <sz val="11"/>
        <color theme="1"/>
        <rFont val="Calibri"/>
        <family val="2"/>
        <charset val="238"/>
        <scheme val="minor"/>
      </rPr>
      <t/>
    </r>
  </si>
  <si>
    <r>
      <t xml:space="preserve"> m</t>
    </r>
    <r>
      <rPr>
        <i/>
        <vertAlign val="superscript"/>
        <sz val="9"/>
        <color theme="8" tint="-0.249977111117893"/>
        <rFont val="Arial Narrow"/>
        <family val="2"/>
        <charset val="238"/>
      </rPr>
      <t>3</t>
    </r>
  </si>
  <si>
    <t>Hloubení jamek  bez výměny půdy, o objemu přes 0,01 do 0,02 m³, v rovině nebo na svahu do 1:5. keře</t>
  </si>
  <si>
    <t>Hloubení jamek  bez výměny půdy, o objemu přes 0,005 do 0,01 m³, v rovině nebo na svahu do 1:5. trvalky</t>
  </si>
  <si>
    <t>183 11-1114</t>
  </si>
  <si>
    <t>183 11-1113</t>
  </si>
  <si>
    <t>vypracovala: Ing. Ilona Vybíralová</t>
  </si>
  <si>
    <r>
      <t>Stavba :</t>
    </r>
    <r>
      <rPr>
        <sz val="10"/>
        <color indexed="10"/>
        <rFont val="Arial Narrow"/>
        <family val="2"/>
        <charset val="238"/>
      </rPr>
      <t xml:space="preserve"> </t>
    </r>
  </si>
  <si>
    <t>183 21-1322</t>
  </si>
  <si>
    <t>6. NÁSLEDNÁ PÉČE</t>
  </si>
  <si>
    <t>Výsadba keře do předem připravené jámy</t>
  </si>
  <si>
    <t>Aplikace půdního hnojiva na bázi hydrogelu</t>
  </si>
  <si>
    <t>184 10-2112</t>
  </si>
  <si>
    <t xml:space="preserve">Výsadba keřů v rovině, přes 200-300 mm, se zalitím </t>
  </si>
  <si>
    <t xml:space="preserve">Mulčování výsadby při tl. mulče  do  100  v rovině nebo na svahu do 1:5, dřevní štěpkou, výška 7 cm </t>
  </si>
  <si>
    <t>součet všech záhonů</t>
  </si>
  <si>
    <t>plocha všech záhonů * 15l</t>
  </si>
  <si>
    <t>Herbicid, ideálně na přírodní bázi</t>
  </si>
  <si>
    <t>záhon ve svahu</t>
  </si>
  <si>
    <t xml:space="preserve">Sejmutí ornice ručně při tloušťce vrstvy do 15 cm </t>
  </si>
  <si>
    <t>Rozprostření a urovnání kompostu v rovině, na výšku 5 cm</t>
  </si>
  <si>
    <t xml:space="preserve">Kultivace terénu rotavátorováním do hloubky 15 cm, s promícháním položeného kompostu </t>
  </si>
  <si>
    <t>Desky na zpevnění záhonu, tl.1 cm</t>
  </si>
  <si>
    <t>Výsev luční směsi</t>
  </si>
  <si>
    <t xml:space="preserve">Zapravení luční směsi </t>
  </si>
  <si>
    <t>Luční směs s podílem nízko kvetoucích bylin, dle specifikace v Tech. zprávě</t>
  </si>
  <si>
    <t>Uválcování výsevu</t>
  </si>
  <si>
    <t>Acer platanoides Clevland</t>
  </si>
  <si>
    <t>Acer campestre Emerald Quenn</t>
  </si>
  <si>
    <t xml:space="preserve">Aesculus hipocastaneum </t>
  </si>
  <si>
    <t xml:space="preserve">Celková bilance rostliného materiálu  </t>
  </si>
  <si>
    <t xml:space="preserve">Zalití dřeviny vodou po výsadbě, v rámci dokončovací péče  / 5 x 80l stromy, 5 x 30 lsolitérní keře, </t>
  </si>
  <si>
    <t>Zalití dřeviny vodou po výsadbě, v rámci dokončovací péče  / 8 x 80l stromy, 8 x 30 lsolitérní keře, 5  x 30 m³ plošné výsadby keřů</t>
  </si>
  <si>
    <t>Zalití dřeviny vodou po výsadbě, v rámci dokončovací péče  / 8 x 80l stromy, 8 x 30 lsolitérní keře, 5 x 30 m³ plošné výsadby keřů</t>
  </si>
  <si>
    <t>Caryopteris clandonensis ´Haewenly blue</t>
  </si>
  <si>
    <t>Hibscus siriacus</t>
  </si>
  <si>
    <t>2. ZALOŽENÍ ZÁHONOVÝCH VÝSADEB</t>
  </si>
  <si>
    <t>3. ZALOŽENÍ KVĚTNATÉ LOUKY</t>
  </si>
  <si>
    <t>5. SOUPIS POUŽITÉHO MATERIÁLU</t>
  </si>
  <si>
    <t>PŘÍPARVENÉ PRÁCE TS</t>
  </si>
  <si>
    <t>pás téměř bez zeminy, výsadba do doplněné půdy, štěrkový pás</t>
  </si>
  <si>
    <t xml:space="preserve">k výsadbě 55m, trojúhelník s parkingem </t>
  </si>
  <si>
    <t>ODSTRANĚNÍ A DOPLNĚNÍ KOŘENŮ, zapojený jehličnatý pás</t>
  </si>
  <si>
    <t>SOUPISKA ZÁHONOVÁ VÝSADBA</t>
  </si>
  <si>
    <r>
      <t>POČET ROSTLIN NA m</t>
    </r>
    <r>
      <rPr>
        <b/>
        <sz val="8"/>
        <rFont val="Calibri"/>
        <family val="2"/>
        <charset val="238"/>
      </rPr>
      <t>²</t>
    </r>
  </si>
  <si>
    <t>TRVALKY</t>
  </si>
  <si>
    <t>Tab. 04 Soupiska stromy a solitérní keře</t>
  </si>
  <si>
    <t xml:space="preserve"> Tab. 03 Soupiska záhonová výsadba, bilanční tabulka</t>
  </si>
  <si>
    <t xml:space="preserve"> Tab. 02 Soupiska záhonová výsadba</t>
  </si>
  <si>
    <t>Spirea japonica ´Shirobana´</t>
  </si>
  <si>
    <t>OK 10-12 cm, ZB, vícekmen, keřový tvar</t>
  </si>
  <si>
    <r>
      <t>Hloubení jámy přes 0,05 do 0,125 m</t>
    </r>
    <r>
      <rPr>
        <vertAlign val="superscript"/>
        <sz val="8"/>
        <rFont val="Arial Narrow"/>
        <family val="2"/>
        <charset val="238"/>
      </rPr>
      <t>3</t>
    </r>
    <r>
      <rPr>
        <sz val="8"/>
        <rFont val="Arial Narrow"/>
        <family val="2"/>
        <charset val="238"/>
      </rPr>
      <t xml:space="preserve"> se 100% výměnou půdy,  v rovině nebo na svahu do 1:5</t>
    </r>
  </si>
  <si>
    <r>
      <t>Hloubení jámy přes 0,02 do 0,05 m</t>
    </r>
    <r>
      <rPr>
        <vertAlign val="superscript"/>
        <sz val="8"/>
        <rFont val="Arial Narrow"/>
        <family val="2"/>
        <charset val="238"/>
      </rPr>
      <t>3</t>
    </r>
    <r>
      <rPr>
        <sz val="8"/>
        <rFont val="Arial Narrow"/>
        <family val="2"/>
        <charset val="238"/>
      </rPr>
      <t xml:space="preserve"> se 100% výměnou půdy,  v rovině nebo na svahu do 1:5</t>
    </r>
  </si>
  <si>
    <t xml:space="preserve">Redukční řez korun stromů </t>
  </si>
  <si>
    <t>Cornus sanguinea</t>
  </si>
  <si>
    <t>Castanea sativa</t>
  </si>
  <si>
    <t>CAS</t>
  </si>
  <si>
    <t>II</t>
  </si>
  <si>
    <t>ČT</t>
  </si>
  <si>
    <t>Celtis australis</t>
  </si>
  <si>
    <t>CEAU</t>
  </si>
  <si>
    <t>Rákosová rohož v 1,8-2 m.</t>
  </si>
  <si>
    <t>Vytvoření ochrany kmínku do výšky větvení, z rákosové rohoži</t>
  </si>
  <si>
    <t>trvalková část</t>
  </si>
  <si>
    <t xml:space="preserve">4. TRVALKOVÉ ZÁHONY </t>
  </si>
  <si>
    <t xml:space="preserve">1. VÝSADBA </t>
  </si>
  <si>
    <t>5. SOUPIS POUŽITÉHO MATERIÁLU TRVALKY</t>
  </si>
  <si>
    <t>REALIZACE ZELENĚ</t>
  </si>
  <si>
    <t>VÝSADBA</t>
  </si>
  <si>
    <t>ZALOŽENÍ KVĚTNATÉ LOUKY</t>
  </si>
  <si>
    <t>184 21-5112</t>
  </si>
  <si>
    <t>183 21-1313</t>
  </si>
  <si>
    <t>183 40-5211</t>
  </si>
  <si>
    <t>183 40-3161</t>
  </si>
  <si>
    <t>184-80-1131</t>
  </si>
  <si>
    <r>
      <t xml:space="preserve"> m</t>
    </r>
    <r>
      <rPr>
        <i/>
        <vertAlign val="superscript"/>
        <sz val="9"/>
        <color theme="4" tint="-0.499984740745262"/>
        <rFont val="Arial Narrow"/>
        <family val="2"/>
        <charset val="238"/>
      </rPr>
      <t>3</t>
    </r>
  </si>
  <si>
    <t>4. REVITALIZACE DĚTSKÉ HŘIŠTĚ - Stará Břeclav</t>
  </si>
  <si>
    <t>ASANAČNÍ PRÁCE</t>
  </si>
  <si>
    <t>Zrušení stávajícího vyvýšeného pískoviště, včetně základů, v 1 m, d. 5 m</t>
  </si>
  <si>
    <t>m²</t>
  </si>
  <si>
    <t>Odstranění kolotoče pro jednu osobu - uložení na technických službách města</t>
  </si>
  <si>
    <t>Odvoz a uložení stavební suti na skládku</t>
  </si>
  <si>
    <t>REALIZAČNÍ PRÁCE</t>
  </si>
  <si>
    <t>Obnova nátěru dřevěných povrchů stávajících herních prvků - vodou ředitelná lazura, cena včetně materiálu, nátěr bude proveden ve dvou vrstvách, před nátěrem bude prvek obroušen</t>
  </si>
  <si>
    <t>Přesun návštěvního řádu na nově určené místo - nutné zbudování betonové patky</t>
  </si>
  <si>
    <t>Výsadby keřů (výkop jámy, usazení keřů a zakůlování k jednomu kůlu s 6 cm , zamulčování mísy s průměrem 1 m, materiál:1 ků Ø 6 cm, d. 1 m l, úvazky na dvou místech, 50 l mulč</t>
  </si>
  <si>
    <t>Výsadby stromu (výkop jámy, usazení stromu a zakůlování ke třem kůlům s Ø 6 cm , vytvoření zálivkové mísy, zamulčování mísy s Ø 1 m, materiál: 3 kůly Ø 6 cm, d. 2 m, 6 polo příček, juta na obalení kmene, 70 l mulč</t>
  </si>
  <si>
    <t>MATERIÁL</t>
  </si>
  <si>
    <t>Tří věžová soustava dle  specifikace v technickém listě, 05/01 Věžová herní soustava, cena včetně montáže</t>
  </si>
  <si>
    <t>Lavička ve tvaru hexagonu 3 x3, dle  specifikace v technickém listě, 05/03 Hexagonová lavička, cena včetně montáže</t>
  </si>
  <si>
    <t>Dřevěný koš  dle  specifikace v technickém listě, 05/04 Dřevěný koš, cena včetně montáže</t>
  </si>
  <si>
    <t>Cedulka dle  specifikace v technickém listě, 05/05 Cedulka k ovocným keřům, cena včetně montáže</t>
  </si>
  <si>
    <t xml:space="preserve">ROSTLINÝ MATERIÁL </t>
  </si>
  <si>
    <t>Acer campestre, Alejový strom OK 12-14</t>
  </si>
  <si>
    <t>Josta, ovocný keř, prostokořený</t>
  </si>
  <si>
    <t>Maliník , ovocný keř, prostokořený</t>
  </si>
  <si>
    <t>Červený rybíz, ovocný keř, prostokořený</t>
  </si>
  <si>
    <t>Černý rybíz, ovocný keř, prostokořený</t>
  </si>
  <si>
    <t>Beztrnný ostružiník, ovocný keř, prostokořený</t>
  </si>
  <si>
    <t xml:space="preserve">Pískoviště 3 x3, dle  specifikace v technickém listě, 05/02 Pískoviště, cena včetně montáže. Součástí realizace pískoviště bude i výkop do hloubky 0,5 m. zbudování drenáže pod pískovištěm na výšku 15 cm a oddělení zeminy a písku netkanou textílié a dodání písku do pískoviště m³. </t>
  </si>
  <si>
    <t>Revitalizace stávajícícho mobiliáře - přesunutí dvou laviček na nové místo - mutné odbourání betonových patek. oučástí revitalizace je obnova dřevěných částí (Demontáž stávajících dřevěných desek , na lavičkách, rozměry desek tl. 2 cm, d. 180, š 12 cm</t>
  </si>
  <si>
    <t xml:space="preserve">Zbudování atypického mobilíáře na betonových palisádách. Mobiliář bude zbudován na současných betonových palisádách. Betonové palisády budou odřezány  na výšku 20 cm do úrovně stávajícího terénu na délku 10 bm. Na palisádách budou ukotveny nové sedací desky. </t>
  </si>
  <si>
    <t>Atypický seddací mobiliář na akátových palisádách, Akátová kulatina, průměr 20cm, cena včetně montáže</t>
  </si>
  <si>
    <t>Obnova povrchu z kačírku na ploše 464 m². Součástí obnovy povrchu  je vyčistění stávající plochy od plevele, doplnění kačírku na  výšku  14 cm. Nutnou součástí je i odbourání stávající obruby z žulové kostky na délku 25bm. A zbudování betonové obruby v délce 10 m. Výkop nové povrchy 23,2 m³. Množstí kačírku fr. 4-12 mm 65 m³.</t>
  </si>
  <si>
    <t>Revitalizace stávajícícho mobiliáře - součástí revitalizace je obnova dřevěných částí  a přesunutí dvou laviček na nové místo - nutné odbourání betonových patek.  Na jedné lavičce 4 deseky (rozměry desek tl. 2 cm, d. 180, š 12 cm)</t>
  </si>
  <si>
    <t>nezpůsobilé výdaje</t>
  </si>
  <si>
    <t>způsobilé výdaje</t>
  </si>
  <si>
    <t>2. ZALOŽENÍ ZÁHONOVÝCH VÝSADEB - Trvalková část</t>
  </si>
  <si>
    <t>4.REVITALIZACE DĚTSKÉHO HŘIŠTĚ - nezpůsobilé výdaje</t>
  </si>
  <si>
    <t>4.REVITALIZACE DĚTSKÉHO HŘIŠTĚ - způsobilé výdaje</t>
  </si>
  <si>
    <t>SLEPÝ ROZPOČET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</si>
</sst>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 &quot;Kč&quot;"/>
    <numFmt numFmtId="166" formatCode="####;\-####"/>
    <numFmt numFmtId="167" formatCode="#"/>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Calibri"/>
      <family val="2"/>
      <scheme val="minor"/>
    </font>
    <font>
      <sz val="10"/>
      <name val="Arial"/>
      <family val="2"/>
      <charset val="238"/>
    </font>
    <font>
      <sz val="8"/>
      <name val="Arial Narrow"/>
      <family val="2"/>
      <charset val="238"/>
    </font>
    <font>
      <b/>
      <sz val="9"/>
      <name val="Arial"/>
      <family val="2"/>
      <charset val="238"/>
    </font>
    <font>
      <sz val="8"/>
      <name val="Arial"/>
      <family val="2"/>
      <charset val="238"/>
    </font>
    <font>
      <sz val="9"/>
      <name val="Arial"/>
      <family val="2"/>
      <charset val="238"/>
    </font>
    <font>
      <sz val="10"/>
      <name val="Arial Narrow"/>
      <family val="2"/>
      <charset val="238"/>
    </font>
    <font>
      <sz val="10"/>
      <name val="Arial CE"/>
      <family val="2"/>
      <charset val="238"/>
    </font>
    <font>
      <sz val="10"/>
      <name val="Calibri"/>
      <family val="2"/>
      <charset val="238"/>
    </font>
    <font>
      <sz val="8"/>
      <name val="Calibri"/>
      <family val="2"/>
      <charset val="238"/>
    </font>
    <font>
      <b/>
      <sz val="14"/>
      <color indexed="10"/>
      <name val="Arial Black"/>
      <family val="2"/>
      <charset val="238"/>
    </font>
    <font>
      <u/>
      <sz val="8"/>
      <color indexed="10"/>
      <name val="Arial Narrow"/>
      <family val="2"/>
      <charset val="238"/>
    </font>
    <font>
      <sz val="8"/>
      <color indexed="20"/>
      <name val="Arial Narrow"/>
      <family val="2"/>
      <charset val="238"/>
    </font>
    <font>
      <sz val="8"/>
      <color indexed="18"/>
      <name val="Arial Narrow"/>
      <family val="2"/>
      <charset val="238"/>
    </font>
    <font>
      <vertAlign val="superscript"/>
      <sz val="8"/>
      <name val="Arial Narrow"/>
      <family val="2"/>
      <charset val="238"/>
    </font>
    <font>
      <sz val="9"/>
      <name val="Arial Narrow"/>
      <family val="2"/>
      <charset val="238"/>
    </font>
    <font>
      <sz val="9"/>
      <color indexed="20"/>
      <name val="Arial Narrow"/>
      <family val="2"/>
      <charset val="238"/>
    </font>
    <font>
      <sz val="7"/>
      <name val="Arial Narrow"/>
      <family val="2"/>
      <charset val="238"/>
    </font>
    <font>
      <sz val="11"/>
      <color theme="1"/>
      <name val="Arial Narrow"/>
      <family val="2"/>
      <charset val="238"/>
    </font>
    <font>
      <b/>
      <sz val="9"/>
      <name val="Arial Narrow"/>
      <family val="2"/>
      <charset val="238"/>
    </font>
    <font>
      <i/>
      <sz val="8"/>
      <color theme="3" tint="-0.249977111117893"/>
      <name val="Arial Narrow"/>
      <family val="2"/>
      <charset val="238"/>
    </font>
    <font>
      <sz val="10"/>
      <color theme="1"/>
      <name val="Arial Narrow"/>
      <family val="2"/>
      <charset val="238"/>
    </font>
    <font>
      <sz val="10"/>
      <color rgb="FFFF0000"/>
      <name val="Arial Narrow"/>
      <family val="2"/>
      <charset val="238"/>
    </font>
    <font>
      <sz val="11"/>
      <color rgb="FFFF0000"/>
      <name val="Arial Narrow"/>
      <family val="2"/>
      <charset val="238"/>
    </font>
    <font>
      <sz val="9"/>
      <color theme="3" tint="-0.249977111117893"/>
      <name val="Arial Narrow"/>
      <family val="2"/>
      <charset val="238"/>
    </font>
    <font>
      <i/>
      <sz val="9"/>
      <color theme="8" tint="-0.249977111117893"/>
      <name val="Arial Narrow"/>
      <family val="2"/>
      <charset val="238"/>
    </font>
    <font>
      <i/>
      <sz val="8"/>
      <color theme="8" tint="-0.249977111117893"/>
      <name val="Arial Narrow"/>
      <family val="2"/>
      <charset val="238"/>
    </font>
    <font>
      <i/>
      <vertAlign val="superscript"/>
      <sz val="8"/>
      <color theme="8" tint="-0.249977111117893"/>
      <name val="Arial Narrow"/>
      <family val="2"/>
      <charset val="238"/>
    </font>
    <font>
      <sz val="9"/>
      <name val="Calibri"/>
      <family val="2"/>
      <scheme val="minor"/>
    </font>
    <font>
      <sz val="11"/>
      <name val="Arial Narrow"/>
      <family val="2"/>
      <charset val="238"/>
    </font>
    <font>
      <sz val="9"/>
      <name val="Calibri"/>
      <family val="2"/>
      <charset val="238"/>
      <scheme val="minor"/>
    </font>
    <font>
      <sz val="9"/>
      <color rgb="FFFF0000"/>
      <name val="Arial Narrow"/>
      <family val="2"/>
      <charset val="238"/>
    </font>
    <font>
      <sz val="9"/>
      <color theme="1"/>
      <name val="Arial Narrow"/>
      <family val="2"/>
      <charset val="238"/>
    </font>
    <font>
      <vertAlign val="superscript"/>
      <sz val="9"/>
      <name val="Arial Narrow"/>
      <family val="2"/>
      <charset val="238"/>
    </font>
    <font>
      <i/>
      <vertAlign val="superscript"/>
      <sz val="9"/>
      <color theme="8" tint="-0.249977111117893"/>
      <name val="Arial Narrow"/>
      <family val="2"/>
      <charset val="238"/>
    </font>
    <font>
      <i/>
      <sz val="9"/>
      <color theme="3" tint="-0.249977111117893"/>
      <name val="Arial Narrow"/>
      <family val="2"/>
      <charset val="238"/>
    </font>
    <font>
      <sz val="9"/>
      <color indexed="18"/>
      <name val="Arial Narrow"/>
      <family val="2"/>
      <charset val="238"/>
    </font>
    <font>
      <u/>
      <sz val="9"/>
      <color indexed="10"/>
      <name val="Arial Narrow"/>
      <family val="2"/>
      <charset val="238"/>
    </font>
    <font>
      <sz val="10"/>
      <color indexed="10"/>
      <name val="Arial Narrow"/>
      <family val="2"/>
      <charset val="238"/>
    </font>
    <font>
      <sz val="14"/>
      <color indexed="10"/>
      <name val="Arial Black"/>
      <family val="2"/>
      <charset val="238"/>
    </font>
    <font>
      <sz val="11"/>
      <name val="Calibri"/>
      <family val="2"/>
      <charset val="238"/>
    </font>
    <font>
      <sz val="8"/>
      <name val="Arial CE"/>
      <charset val="238"/>
    </font>
    <font>
      <u/>
      <sz val="9"/>
      <name val="Arial"/>
      <family val="2"/>
      <charset val="238"/>
    </font>
    <font>
      <u/>
      <sz val="8"/>
      <name val="Arial"/>
      <family val="2"/>
      <charset val="238"/>
    </font>
    <font>
      <b/>
      <sz val="8"/>
      <name val="Calibri"/>
      <family val="2"/>
      <charset val="238"/>
    </font>
    <font>
      <b/>
      <sz val="8"/>
      <name val="Arial"/>
      <family val="2"/>
      <charset val="238"/>
    </font>
    <font>
      <sz val="10"/>
      <color theme="1"/>
      <name val="Arial Black"/>
      <family val="2"/>
      <charset val="238"/>
    </font>
    <font>
      <sz val="10"/>
      <name val="Arial Black"/>
      <family val="2"/>
      <charset val="238"/>
    </font>
    <font>
      <i/>
      <sz val="11"/>
      <color theme="8" tint="-0.249977111117893"/>
      <name val="Arial Narrow"/>
      <family val="2"/>
      <charset val="238"/>
    </font>
    <font>
      <u/>
      <sz val="11"/>
      <color rgb="FFC00000"/>
      <name val="Arial Narrow"/>
      <family val="2"/>
      <charset val="238"/>
    </font>
    <font>
      <b/>
      <sz val="14"/>
      <color rgb="FFFF0000"/>
      <name val="Arial Black"/>
      <family val="2"/>
      <charset val="238"/>
    </font>
    <font>
      <sz val="16"/>
      <color theme="1"/>
      <name val="Arial Black"/>
      <family val="2"/>
      <charset val="238"/>
    </font>
    <font>
      <sz val="14"/>
      <name val="Arial Black"/>
      <family val="2"/>
      <charset val="238"/>
    </font>
    <font>
      <sz val="8"/>
      <name val="Calibri"/>
      <family val="2"/>
      <charset val="238"/>
      <scheme val="minor"/>
    </font>
    <font>
      <sz val="8"/>
      <name val="Arial Black"/>
      <family val="2"/>
      <charset val="238"/>
    </font>
    <font>
      <sz val="8"/>
      <color theme="1"/>
      <name val="Calibri"/>
      <family val="2"/>
      <charset val="238"/>
      <scheme val="minor"/>
    </font>
    <font>
      <sz val="8"/>
      <color rgb="FFFF0000"/>
      <name val="Calibri"/>
      <family val="2"/>
      <charset val="238"/>
      <scheme val="minor"/>
    </font>
    <font>
      <sz val="8"/>
      <color theme="1"/>
      <name val="Arial"/>
      <family val="2"/>
      <charset val="238"/>
    </font>
    <font>
      <strike/>
      <sz val="8"/>
      <color indexed="8"/>
      <name val="Calibri"/>
      <family val="2"/>
      <charset val="238"/>
    </font>
    <font>
      <b/>
      <sz val="8"/>
      <name val="Calibri"/>
      <family val="2"/>
      <charset val="238"/>
      <scheme val="minor"/>
    </font>
    <font>
      <sz val="8"/>
      <color theme="1"/>
      <name val="Arial Black"/>
      <family val="2"/>
      <charset val="238"/>
    </font>
    <font>
      <sz val="8"/>
      <color theme="1"/>
      <name val="Arial Narrow"/>
      <family val="2"/>
      <charset val="238"/>
    </font>
    <font>
      <sz val="9"/>
      <color theme="4" tint="-0.499984740745262"/>
      <name val="Arial Narrow"/>
      <family val="2"/>
      <charset val="238"/>
    </font>
    <font>
      <i/>
      <sz val="9"/>
      <color theme="4" tint="-0.499984740745262"/>
      <name val="Arial Narrow"/>
      <family val="2"/>
      <charset val="238"/>
    </font>
    <font>
      <i/>
      <vertAlign val="superscript"/>
      <sz val="9"/>
      <color theme="4" tint="-0.499984740745262"/>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5" fillId="0" borderId="0" applyAlignment="0">
      <alignment vertical="top" wrapText="1"/>
      <protection locked="0"/>
    </xf>
    <xf numFmtId="0" fontId="5" fillId="0" borderId="0"/>
    <xf numFmtId="0" fontId="5" fillId="0" borderId="0"/>
    <xf numFmtId="0" fontId="11" fillId="0" borderId="0"/>
    <xf numFmtId="0" fontId="5" fillId="0" borderId="0" applyAlignment="0">
      <alignment vertical="top" wrapText="1"/>
      <protection locked="0"/>
    </xf>
    <xf numFmtId="0" fontId="3" fillId="0" borderId="0"/>
  </cellStyleXfs>
  <cellXfs count="600">
    <xf numFmtId="0" fontId="0" fillId="0" borderId="0" xfId="0"/>
    <xf numFmtId="0" fontId="25" fillId="0" borderId="0" xfId="6" applyFont="1" applyFill="1" applyBorder="1" applyAlignment="1">
      <alignment horizontal="center"/>
    </xf>
    <xf numFmtId="0" fontId="25" fillId="0" borderId="0" xfId="6" applyFont="1" applyFill="1" applyBorder="1"/>
    <xf numFmtId="0" fontId="25" fillId="0" borderId="0" xfId="0" applyFont="1" applyFill="1" applyBorder="1"/>
    <xf numFmtId="49" fontId="25" fillId="0" borderId="0" xfId="0" applyNumberFormat="1" applyFont="1" applyFill="1" applyBorder="1" applyAlignment="1">
      <alignment wrapText="1"/>
    </xf>
    <xf numFmtId="1" fontId="25" fillId="0" borderId="0" xfId="6" applyNumberFormat="1" applyFont="1" applyFill="1" applyBorder="1" applyAlignment="1">
      <alignment horizontal="center" wrapText="1"/>
    </xf>
    <xf numFmtId="49" fontId="25" fillId="0" borderId="0" xfId="0" applyNumberFormat="1" applyFont="1" applyFill="1" applyBorder="1"/>
    <xf numFmtId="164" fontId="32" fillId="2" borderId="1" xfId="0" applyNumberFormat="1" applyFont="1" applyFill="1" applyBorder="1" applyAlignment="1">
      <alignment horizontal="center"/>
    </xf>
    <xf numFmtId="0" fontId="19" fillId="2" borderId="1" xfId="0" applyFont="1" applyFill="1" applyBorder="1"/>
    <xf numFmtId="1" fontId="19" fillId="2" borderId="1" xfId="0" applyNumberFormat="1" applyFont="1" applyFill="1" applyBorder="1" applyAlignment="1">
      <alignment horizontal="center" wrapText="1"/>
    </xf>
    <xf numFmtId="164" fontId="19" fillId="2" borderId="1" xfId="0" applyNumberFormat="1" applyFont="1" applyFill="1" applyBorder="1" applyAlignment="1">
      <alignment horizontal="left"/>
    </xf>
    <xf numFmtId="0" fontId="10" fillId="2" borderId="0" xfId="2" applyFont="1" applyFill="1" applyBorder="1" applyAlignment="1">
      <alignment horizontal="center" vertical="center"/>
    </xf>
    <xf numFmtId="1" fontId="10" fillId="2" borderId="0" xfId="2" applyNumberFormat="1"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0" xfId="0" applyFont="1" applyFill="1" applyBorder="1"/>
    <xf numFmtId="49" fontId="10" fillId="2" borderId="0" xfId="0" applyNumberFormat="1" applyFont="1" applyFill="1" applyBorder="1" applyAlignment="1">
      <alignment wrapText="1"/>
    </xf>
    <xf numFmtId="0" fontId="10" fillId="2" borderId="0" xfId="6" applyFont="1" applyFill="1" applyBorder="1" applyAlignment="1">
      <alignment horizontal="center"/>
    </xf>
    <xf numFmtId="1" fontId="10" fillId="2" borderId="0" xfId="6" applyNumberFormat="1" applyFont="1" applyFill="1" applyBorder="1" applyAlignment="1">
      <alignment horizontal="center" wrapText="1"/>
    </xf>
    <xf numFmtId="0" fontId="10" fillId="2" borderId="0" xfId="6" applyFont="1" applyFill="1" applyBorder="1" applyAlignment="1">
      <alignment horizontal="center" wrapText="1"/>
    </xf>
    <xf numFmtId="0" fontId="10" fillId="2" borderId="0" xfId="6" applyFont="1" applyFill="1" applyBorder="1"/>
    <xf numFmtId="49" fontId="10" fillId="2" borderId="0" xfId="0" applyNumberFormat="1" applyFont="1" applyFill="1" applyBorder="1"/>
    <xf numFmtId="0" fontId="10" fillId="0" borderId="0" xfId="2" applyFont="1" applyFill="1" applyBorder="1" applyAlignment="1">
      <alignment horizontal="left" vertical="center"/>
    </xf>
    <xf numFmtId="0" fontId="10" fillId="2" borderId="0" xfId="2" applyFont="1" applyFill="1" applyBorder="1" applyAlignment="1">
      <alignment horizontal="left" vertical="center"/>
    </xf>
    <xf numFmtId="0" fontId="10" fillId="2" borderId="0" xfId="2" applyFont="1" applyFill="1" applyBorder="1" applyAlignment="1">
      <alignment vertical="center"/>
    </xf>
    <xf numFmtId="0" fontId="34" fillId="2" borderId="0" xfId="0" applyFont="1" applyFill="1" applyBorder="1" applyAlignment="1">
      <alignment horizontal="left"/>
    </xf>
    <xf numFmtId="0" fontId="34" fillId="2" borderId="0" xfId="0" applyFont="1" applyFill="1" applyBorder="1"/>
    <xf numFmtId="49" fontId="34" fillId="2" borderId="0" xfId="0" applyNumberFormat="1" applyFont="1" applyFill="1" applyBorder="1" applyAlignment="1">
      <alignment horizontal="center" wrapText="1"/>
    </xf>
    <xf numFmtId="1" fontId="34" fillId="2" borderId="0" xfId="0" applyNumberFormat="1" applyFont="1" applyFill="1" applyBorder="1" applyAlignment="1">
      <alignment horizontal="center" wrapText="1"/>
    </xf>
    <xf numFmtId="0" fontId="34" fillId="2" borderId="0" xfId="0" applyFont="1" applyFill="1" applyBorder="1" applyAlignment="1">
      <alignment horizontal="center"/>
    </xf>
    <xf numFmtId="0" fontId="43" fillId="0" borderId="0" xfId="5" applyFont="1" applyFill="1" applyAlignment="1" applyProtection="1">
      <alignment horizontal="left" vertical="center"/>
    </xf>
    <xf numFmtId="0" fontId="12" fillId="0" borderId="0" xfId="4" applyFont="1" applyFill="1" applyAlignment="1">
      <alignment vertical="center"/>
    </xf>
    <xf numFmtId="0" fontId="13" fillId="0" borderId="0" xfId="5" applyFont="1" applyFill="1" applyAlignment="1" applyProtection="1">
      <alignment horizontal="left" vertical="center"/>
    </xf>
    <xf numFmtId="0" fontId="13" fillId="0" borderId="0" xfId="5" applyFont="1" applyFill="1" applyAlignment="1" applyProtection="1">
      <alignment horizontal="center" vertical="center"/>
    </xf>
    <xf numFmtId="0" fontId="12" fillId="0" borderId="0" xfId="4" applyFont="1" applyFill="1" applyAlignment="1">
      <alignment horizontal="center" vertical="center"/>
    </xf>
    <xf numFmtId="164" fontId="12" fillId="0" borderId="0" xfId="4" applyNumberFormat="1" applyFont="1" applyFill="1" applyAlignment="1">
      <alignment horizontal="center" vertical="center"/>
    </xf>
    <xf numFmtId="1" fontId="12" fillId="0" borderId="0" xfId="4" applyNumberFormat="1" applyFont="1" applyFill="1" applyAlignment="1">
      <alignment horizontal="center" vertical="center"/>
    </xf>
    <xf numFmtId="0" fontId="44" fillId="0" borderId="0" xfId="4" applyFont="1" applyFill="1" applyAlignment="1">
      <alignment vertical="center"/>
    </xf>
    <xf numFmtId="0" fontId="45" fillId="0" borderId="24" xfId="1" applyFont="1" applyFill="1" applyBorder="1" applyAlignment="1" applyProtection="1">
      <alignment horizontal="center" vertical="center" wrapText="1"/>
    </xf>
    <xf numFmtId="0" fontId="45" fillId="0" borderId="13" xfId="1" applyFont="1" applyFill="1" applyBorder="1" applyAlignment="1" applyProtection="1">
      <alignment horizontal="center" vertical="center" wrapText="1"/>
    </xf>
    <xf numFmtId="165" fontId="45" fillId="0" borderId="13" xfId="1" applyNumberFormat="1" applyFont="1" applyFill="1" applyBorder="1" applyAlignment="1" applyProtection="1">
      <alignment horizontal="center" vertical="center" wrapText="1"/>
    </xf>
    <xf numFmtId="165" fontId="45" fillId="0" borderId="23" xfId="1" applyNumberFormat="1" applyFont="1" applyFill="1" applyBorder="1" applyAlignment="1" applyProtection="1">
      <alignment horizontal="center" vertical="center" wrapText="1"/>
    </xf>
    <xf numFmtId="0" fontId="5" fillId="0" borderId="0" xfId="1" applyFont="1" applyFill="1" applyAlignment="1" applyProtection="1">
      <alignment horizontal="left" vertical="center"/>
    </xf>
    <xf numFmtId="166" fontId="45" fillId="0" borderId="22" xfId="1" applyNumberFormat="1" applyFont="1" applyFill="1" applyBorder="1" applyAlignment="1" applyProtection="1">
      <alignment horizontal="center" vertical="center"/>
    </xf>
    <xf numFmtId="166" fontId="45" fillId="0" borderId="21" xfId="1" applyNumberFormat="1" applyFont="1" applyFill="1" applyBorder="1" applyAlignment="1" applyProtection="1">
      <alignment horizontal="center" vertical="center" wrapText="1"/>
    </xf>
    <xf numFmtId="3" fontId="45" fillId="0" borderId="21"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5" fillId="0" borderId="1" xfId="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9" fillId="0" borderId="16" xfId="1" applyFont="1" applyFill="1" applyBorder="1" applyAlignment="1" applyProtection="1">
      <alignment horizontal="left" vertical="center" wrapText="1"/>
    </xf>
    <xf numFmtId="165" fontId="5" fillId="0" borderId="0" xfId="1" applyNumberFormat="1" applyFont="1" applyFill="1" applyAlignment="1" applyProtection="1">
      <alignment horizontal="left" vertical="center"/>
    </xf>
    <xf numFmtId="165" fontId="5" fillId="0" borderId="0" xfId="1" applyNumberFormat="1" applyFont="1" applyFill="1" applyAlignment="1" applyProtection="1">
      <alignment horizontal="center" vertical="center"/>
    </xf>
    <xf numFmtId="0" fontId="7" fillId="0" borderId="31" xfId="1" applyFont="1" applyFill="1" applyBorder="1" applyAlignment="1" applyProtection="1">
      <alignment horizontal="left" vertical="center" wrapText="1"/>
    </xf>
    <xf numFmtId="0" fontId="6" fillId="2" borderId="0" xfId="2" applyFont="1" applyFill="1" applyAlignment="1">
      <alignment horizontal="center" vertical="center"/>
    </xf>
    <xf numFmtId="0" fontId="6" fillId="2" borderId="0" xfId="2" applyFont="1" applyFill="1" applyAlignment="1">
      <alignment vertical="center" wrapText="1"/>
    </xf>
    <xf numFmtId="164" fontId="6" fillId="2" borderId="0" xfId="2" applyNumberFormat="1" applyFont="1" applyFill="1" applyAlignment="1">
      <alignment horizontal="center" vertical="center"/>
    </xf>
    <xf numFmtId="4" fontId="6" fillId="2" borderId="0" xfId="2" applyNumberFormat="1" applyFont="1" applyFill="1" applyAlignment="1">
      <alignment horizontal="center" vertical="center"/>
    </xf>
    <xf numFmtId="1" fontId="21" fillId="2" borderId="0" xfId="2" applyNumberFormat="1" applyFont="1" applyFill="1" applyAlignment="1">
      <alignment horizontal="center" vertical="center"/>
    </xf>
    <xf numFmtId="0" fontId="10" fillId="2" borderId="0" xfId="2" applyFont="1" applyFill="1" applyAlignment="1">
      <alignment horizontal="center" vertical="center"/>
    </xf>
    <xf numFmtId="0" fontId="19" fillId="2" borderId="0" xfId="2" applyFont="1" applyFill="1" applyAlignment="1">
      <alignment horizontal="center" vertical="center" wrapText="1"/>
    </xf>
    <xf numFmtId="1" fontId="19" fillId="2" borderId="0" xfId="2" applyNumberFormat="1" applyFont="1" applyFill="1" applyAlignment="1">
      <alignment horizontal="center" vertical="center" wrapText="1"/>
    </xf>
    <xf numFmtId="1" fontId="28" fillId="2" borderId="0" xfId="2" applyNumberFormat="1" applyFont="1" applyFill="1" applyAlignment="1">
      <alignment horizontal="center" vertical="center"/>
    </xf>
    <xf numFmtId="1" fontId="28" fillId="2" borderId="0" xfId="2" applyNumberFormat="1" applyFont="1" applyFill="1" applyAlignment="1">
      <alignment vertical="center" wrapText="1"/>
    </xf>
    <xf numFmtId="164" fontId="28" fillId="2" borderId="0" xfId="2" applyNumberFormat="1" applyFont="1" applyFill="1" applyAlignment="1">
      <alignment horizontal="center" vertical="center"/>
    </xf>
    <xf numFmtId="1" fontId="19" fillId="2" borderId="1" xfId="2" applyNumberFormat="1" applyFont="1" applyFill="1" applyBorder="1" applyAlignment="1">
      <alignment vertical="center" wrapText="1"/>
    </xf>
    <xf numFmtId="0" fontId="6" fillId="2" borderId="1" xfId="6" applyFont="1" applyFill="1" applyBorder="1" applyAlignment="1">
      <alignment horizontal="center" vertical="center" wrapText="1"/>
    </xf>
    <xf numFmtId="1" fontId="19" fillId="2" borderId="0" xfId="2" applyNumberFormat="1" applyFont="1" applyFill="1" applyAlignment="1">
      <alignment horizontal="center" vertical="center"/>
    </xf>
    <xf numFmtId="0" fontId="6" fillId="2" borderId="1" xfId="6" applyFont="1" applyFill="1" applyBorder="1" applyAlignment="1">
      <alignment horizontal="center" vertical="center"/>
    </xf>
    <xf numFmtId="0" fontId="22" fillId="2" borderId="0" xfId="6" applyFont="1" applyFill="1"/>
    <xf numFmtId="0" fontId="22" fillId="2" borderId="0" xfId="6" applyFont="1" applyFill="1" applyAlignment="1">
      <alignment wrapText="1"/>
    </xf>
    <xf numFmtId="0" fontId="19" fillId="2" borderId="0" xfId="2" applyFont="1" applyFill="1" applyAlignment="1">
      <alignment horizontal="center" vertical="center"/>
    </xf>
    <xf numFmtId="167" fontId="20" fillId="2" borderId="0" xfId="2" applyNumberFormat="1" applyFont="1" applyFill="1" applyAlignment="1">
      <alignment horizontal="center" vertical="center" wrapText="1"/>
    </xf>
    <xf numFmtId="164" fontId="20" fillId="2" borderId="0" xfId="2" applyNumberFormat="1" applyFont="1" applyFill="1" applyAlignment="1">
      <alignment horizontal="center" vertical="center" wrapText="1"/>
    </xf>
    <xf numFmtId="4" fontId="20" fillId="2" borderId="0" xfId="2" applyNumberFormat="1" applyFont="1" applyFill="1" applyAlignment="1">
      <alignment horizontal="center" vertical="center" wrapText="1"/>
    </xf>
    <xf numFmtId="1" fontId="20" fillId="2" borderId="0" xfId="2" applyNumberFormat="1" applyFont="1" applyFill="1" applyAlignment="1">
      <alignment horizontal="center" vertical="center" wrapText="1"/>
    </xf>
    <xf numFmtId="167" fontId="41" fillId="2" borderId="0" xfId="2" applyNumberFormat="1" applyFont="1" applyFill="1" applyAlignment="1">
      <alignment horizontal="center" vertical="center" wrapText="1"/>
    </xf>
    <xf numFmtId="164" fontId="41" fillId="2" borderId="0" xfId="2" applyNumberFormat="1" applyFont="1" applyFill="1" applyAlignment="1">
      <alignment horizontal="center" vertical="center" wrapText="1"/>
    </xf>
    <xf numFmtId="4" fontId="41" fillId="2" borderId="0" xfId="2" applyNumberFormat="1" applyFont="1" applyFill="1" applyAlignment="1">
      <alignment horizontal="center" vertical="center" wrapText="1"/>
    </xf>
    <xf numFmtId="1" fontId="41" fillId="2" borderId="0" xfId="2" applyNumberFormat="1" applyFont="1" applyFill="1" applyAlignment="1">
      <alignment horizontal="center" vertical="center" wrapText="1"/>
    </xf>
    <xf numFmtId="0" fontId="19" fillId="2" borderId="0" xfId="6" applyFont="1" applyFill="1"/>
    <xf numFmtId="0" fontId="35" fillId="2" borderId="0" xfId="6" applyFont="1" applyFill="1"/>
    <xf numFmtId="1" fontId="28" fillId="2" borderId="2" xfId="2" applyNumberFormat="1" applyFont="1" applyFill="1" applyBorder="1" applyAlignment="1">
      <alignment horizontal="center" vertical="center"/>
    </xf>
    <xf numFmtId="1" fontId="28" fillId="2" borderId="3" xfId="2" applyNumberFormat="1" applyFont="1" applyFill="1" applyBorder="1" applyAlignment="1">
      <alignment horizontal="center" vertical="center"/>
    </xf>
    <xf numFmtId="1" fontId="28" fillId="2" borderId="3" xfId="2" applyNumberFormat="1" applyFont="1" applyFill="1" applyBorder="1" applyAlignment="1">
      <alignment vertical="center"/>
    </xf>
    <xf numFmtId="1" fontId="28" fillId="2" borderId="4" xfId="2" applyNumberFormat="1" applyFont="1" applyFill="1" applyBorder="1" applyAlignment="1">
      <alignment horizontal="center" vertical="center"/>
    </xf>
    <xf numFmtId="0" fontId="6" fillId="2" borderId="1" xfId="6" applyFont="1" applyFill="1" applyBorder="1" applyAlignment="1">
      <alignment vertical="center" wrapText="1"/>
    </xf>
    <xf numFmtId="4" fontId="6" fillId="2" borderId="1" xfId="6" applyNumberFormat="1" applyFont="1" applyFill="1" applyBorder="1" applyAlignment="1">
      <alignment horizontal="center" vertical="center" wrapText="1"/>
    </xf>
    <xf numFmtId="0" fontId="6" fillId="2" borderId="10" xfId="6" applyFont="1" applyFill="1" applyBorder="1" applyAlignment="1">
      <alignment horizontal="center" vertical="center" wrapText="1"/>
    </xf>
    <xf numFmtId="0" fontId="6" fillId="2" borderId="0" xfId="2" applyFont="1" applyFill="1" applyAlignment="1">
      <alignment horizontal="center" vertical="center" wrapText="1"/>
    </xf>
    <xf numFmtId="0" fontId="2" fillId="2" borderId="0" xfId="6" applyFont="1" applyFill="1"/>
    <xf numFmtId="0" fontId="33" fillId="2" borderId="0" xfId="6" applyFont="1" applyFill="1" applyAlignment="1">
      <alignment horizontal="center"/>
    </xf>
    <xf numFmtId="0" fontId="30" fillId="2" borderId="1" xfId="6" applyFont="1" applyFill="1" applyBorder="1" applyAlignment="1">
      <alignment horizontal="center" vertical="center" wrapText="1"/>
    </xf>
    <xf numFmtId="4" fontId="30" fillId="2" borderId="1" xfId="6" applyNumberFormat="1" applyFont="1" applyFill="1" applyBorder="1" applyAlignment="1">
      <alignment horizontal="center" vertical="center" wrapText="1"/>
    </xf>
    <xf numFmtId="0" fontId="30" fillId="2" borderId="10" xfId="6" applyFont="1" applyFill="1" applyBorder="1" applyAlignment="1">
      <alignment horizontal="center" vertical="center" wrapText="1"/>
    </xf>
    <xf numFmtId="0" fontId="30" fillId="2" borderId="0" xfId="2" applyFont="1" applyFill="1" applyAlignment="1">
      <alignment horizontal="center" vertical="center" wrapText="1"/>
    </xf>
    <xf numFmtId="4" fontId="21" fillId="2" borderId="0" xfId="2" applyNumberFormat="1" applyFont="1" applyFill="1" applyAlignment="1">
      <alignment horizontal="center" vertical="center"/>
    </xf>
    <xf numFmtId="167" fontId="19" fillId="2" borderId="1" xfId="2" applyNumberFormat="1" applyFont="1" applyFill="1" applyBorder="1" applyAlignment="1">
      <alignment horizontal="center" vertical="center" wrapText="1"/>
    </xf>
    <xf numFmtId="1" fontId="6" fillId="2" borderId="1" xfId="6" applyNumberFormat="1" applyFont="1" applyFill="1" applyBorder="1" applyAlignment="1">
      <alignment horizontal="center" vertical="center" wrapText="1"/>
    </xf>
    <xf numFmtId="0" fontId="19" fillId="2" borderId="1" xfId="6" applyFont="1" applyFill="1" applyBorder="1" applyAlignment="1">
      <alignment horizontal="left" vertical="center" wrapText="1"/>
    </xf>
    <xf numFmtId="3" fontId="6" fillId="2" borderId="1" xfId="6"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0" fillId="2" borderId="0" xfId="2" applyFont="1" applyFill="1" applyAlignment="1">
      <alignment horizontal="left" vertical="center" wrapText="1"/>
    </xf>
    <xf numFmtId="0" fontId="29" fillId="2" borderId="1" xfId="6" applyFont="1" applyFill="1" applyBorder="1" applyAlignment="1">
      <alignment horizontal="center" vertical="center" wrapText="1"/>
    </xf>
    <xf numFmtId="164" fontId="29" fillId="2" borderId="1" xfId="6" applyNumberFormat="1" applyFont="1" applyFill="1" applyBorder="1" applyAlignment="1">
      <alignment horizontal="center" vertical="center" wrapText="1"/>
    </xf>
    <xf numFmtId="4" fontId="29" fillId="2" borderId="1" xfId="6" applyNumberFormat="1" applyFont="1" applyFill="1" applyBorder="1" applyAlignment="1">
      <alignment horizontal="center" vertical="center" wrapText="1"/>
    </xf>
    <xf numFmtId="0" fontId="29" fillId="2" borderId="0" xfId="2" applyFont="1" applyFill="1" applyAlignment="1">
      <alignment horizontal="center" vertical="center" wrapText="1"/>
    </xf>
    <xf numFmtId="0" fontId="6" fillId="2" borderId="0" xfId="6" applyFont="1" applyFill="1" applyAlignment="1">
      <alignment horizontal="center" vertical="center" wrapText="1"/>
    </xf>
    <xf numFmtId="4" fontId="6" fillId="2" borderId="0" xfId="6" applyNumberFormat="1" applyFont="1" applyFill="1" applyAlignment="1">
      <alignment horizontal="center" vertical="center" wrapText="1"/>
    </xf>
    <xf numFmtId="167" fontId="17" fillId="2" borderId="0" xfId="2" applyNumberFormat="1" applyFont="1" applyFill="1" applyAlignment="1">
      <alignment horizontal="center" vertical="center" wrapText="1"/>
    </xf>
    <xf numFmtId="4" fontId="17" fillId="2" borderId="0" xfId="2" applyNumberFormat="1" applyFont="1" applyFill="1" applyAlignment="1">
      <alignment horizontal="center" vertical="center" wrapText="1"/>
    </xf>
    <xf numFmtId="167" fontId="16" fillId="2" borderId="0" xfId="2" applyNumberFormat="1" applyFont="1" applyFill="1" applyAlignment="1">
      <alignment horizontal="center" vertical="center" wrapText="1"/>
    </xf>
    <xf numFmtId="4" fontId="16" fillId="2" borderId="0" xfId="2" applyNumberFormat="1" applyFont="1" applyFill="1" applyAlignment="1">
      <alignment horizontal="center" vertical="center" wrapText="1"/>
    </xf>
    <xf numFmtId="167" fontId="15" fillId="2" borderId="0" xfId="2" applyNumberFormat="1" applyFont="1" applyFill="1" applyAlignment="1">
      <alignment horizontal="center" vertical="center" wrapText="1"/>
    </xf>
    <xf numFmtId="4" fontId="15" fillId="2" borderId="0" xfId="2" applyNumberFormat="1" applyFont="1" applyFill="1" applyAlignment="1">
      <alignment horizontal="center" vertical="center" wrapText="1"/>
    </xf>
    <xf numFmtId="0" fontId="10" fillId="2" borderId="0" xfId="2" applyFont="1" applyFill="1" applyAlignment="1">
      <alignment horizontal="center" vertical="center" wrapText="1"/>
    </xf>
    <xf numFmtId="4" fontId="10" fillId="2" borderId="0" xfId="2" applyNumberFormat="1" applyFont="1" applyFill="1" applyAlignment="1">
      <alignment horizontal="center" vertical="center" wrapText="1"/>
    </xf>
    <xf numFmtId="0" fontId="19" fillId="2" borderId="0" xfId="2" applyFont="1" applyFill="1" applyBorder="1" applyAlignment="1">
      <alignment horizontal="center" vertical="center"/>
    </xf>
    <xf numFmtId="1" fontId="19" fillId="2" borderId="0" xfId="2" applyNumberFormat="1"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0" xfId="0" applyFont="1" applyFill="1" applyBorder="1"/>
    <xf numFmtId="0" fontId="19" fillId="2" borderId="0" xfId="3" applyFont="1" applyFill="1" applyBorder="1" applyAlignment="1">
      <alignment horizontal="left" vertical="center"/>
    </xf>
    <xf numFmtId="49" fontId="19" fillId="2" borderId="0" xfId="2" applyNumberFormat="1" applyFont="1" applyFill="1" applyBorder="1" applyAlignment="1">
      <alignment vertical="center"/>
    </xf>
    <xf numFmtId="0" fontId="19" fillId="2" borderId="0" xfId="6" applyFont="1" applyFill="1" applyAlignment="1">
      <alignment wrapText="1"/>
    </xf>
    <xf numFmtId="1" fontId="19" fillId="2" borderId="0" xfId="6" applyNumberFormat="1" applyFont="1" applyFill="1"/>
    <xf numFmtId="0" fontId="19" fillId="2" borderId="0" xfId="6" applyFont="1" applyFill="1" applyAlignment="1">
      <alignment horizontal="center" wrapText="1"/>
    </xf>
    <xf numFmtId="1" fontId="28" fillId="2" borderId="0" xfId="2" applyNumberFormat="1" applyFont="1" applyFill="1" applyAlignment="1">
      <alignment vertical="center"/>
    </xf>
    <xf numFmtId="0" fontId="19" fillId="2" borderId="1" xfId="6" applyFont="1" applyFill="1" applyBorder="1" applyAlignment="1">
      <alignment horizontal="center" vertical="center" wrapText="1"/>
    </xf>
    <xf numFmtId="1" fontId="19" fillId="2" borderId="1" xfId="2" applyNumberFormat="1" applyFont="1" applyFill="1" applyBorder="1" applyAlignment="1">
      <alignment horizontal="center" vertical="center" wrapText="1"/>
    </xf>
    <xf numFmtId="0" fontId="19" fillId="2" borderId="1" xfId="6" applyFont="1" applyFill="1" applyBorder="1" applyAlignment="1">
      <alignment horizontal="center" vertical="center"/>
    </xf>
    <xf numFmtId="0" fontId="19" fillId="2" borderId="0" xfId="2" applyFont="1" applyFill="1" applyAlignment="1">
      <alignment vertical="center" wrapText="1"/>
    </xf>
    <xf numFmtId="164" fontId="19" fillId="2" borderId="0" xfId="2" applyNumberFormat="1" applyFont="1" applyFill="1" applyAlignment="1">
      <alignment horizontal="center" vertical="center"/>
    </xf>
    <xf numFmtId="4" fontId="19" fillId="2" borderId="0" xfId="2" applyNumberFormat="1" applyFont="1" applyFill="1" applyAlignment="1">
      <alignment horizontal="center" vertical="center"/>
    </xf>
    <xf numFmtId="1" fontId="28" fillId="2" borderId="0" xfId="2" applyNumberFormat="1" applyFont="1" applyFill="1" applyAlignment="1">
      <alignment horizontal="center" vertical="center" wrapText="1"/>
    </xf>
    <xf numFmtId="0" fontId="19" fillId="2" borderId="1" xfId="6" applyFont="1" applyFill="1" applyBorder="1" applyAlignment="1">
      <alignment wrapText="1"/>
    </xf>
    <xf numFmtId="164" fontId="19" fillId="2" borderId="1" xfId="6" applyNumberFormat="1" applyFont="1" applyFill="1" applyBorder="1" applyAlignment="1">
      <alignment horizontal="center" vertical="center" wrapText="1"/>
    </xf>
    <xf numFmtId="0" fontId="19" fillId="2" borderId="1" xfId="6" applyFont="1" applyFill="1" applyBorder="1" applyAlignment="1">
      <alignment vertical="center" wrapText="1"/>
    </xf>
    <xf numFmtId="4" fontId="19" fillId="2" borderId="1" xfId="6" applyNumberFormat="1" applyFont="1" applyFill="1" applyBorder="1" applyAlignment="1">
      <alignment horizontal="center" vertical="center" wrapText="1"/>
    </xf>
    <xf numFmtId="1" fontId="19" fillId="2" borderId="1" xfId="6" applyNumberFormat="1" applyFont="1" applyFill="1" applyBorder="1" applyAlignment="1">
      <alignment horizontal="center" vertical="center" wrapText="1"/>
    </xf>
    <xf numFmtId="0" fontId="29" fillId="2" borderId="1" xfId="6" applyFont="1" applyFill="1" applyBorder="1" applyAlignment="1">
      <alignment vertical="center" wrapText="1"/>
    </xf>
    <xf numFmtId="0" fontId="39" fillId="2" borderId="0" xfId="6" applyFont="1" applyFill="1" applyAlignment="1">
      <alignment wrapText="1"/>
    </xf>
    <xf numFmtId="0" fontId="39" fillId="2" borderId="0" xfId="6" applyFont="1" applyFill="1" applyAlignment="1">
      <alignment horizontal="center" wrapText="1"/>
    </xf>
    <xf numFmtId="0" fontId="19" fillId="2" borderId="0" xfId="6" applyFont="1" applyFill="1" applyAlignment="1">
      <alignment horizontal="center" vertical="center" wrapText="1"/>
    </xf>
    <xf numFmtId="0" fontId="19" fillId="2" borderId="0" xfId="6" applyFont="1" applyFill="1" applyAlignment="1">
      <alignment horizontal="left" vertical="center" wrapText="1"/>
    </xf>
    <xf numFmtId="1" fontId="19" fillId="2" borderId="0" xfId="6" applyNumberFormat="1" applyFont="1" applyFill="1" applyAlignment="1">
      <alignment horizontal="center" vertical="center" wrapText="1"/>
    </xf>
    <xf numFmtId="0" fontId="36" fillId="2" borderId="0" xfId="6" applyFont="1" applyFill="1" applyAlignment="1">
      <alignment wrapText="1"/>
    </xf>
    <xf numFmtId="0" fontId="36" fillId="2" borderId="0" xfId="6" applyFont="1" applyFill="1"/>
    <xf numFmtId="0" fontId="19" fillId="3" borderId="25" xfId="2" applyFont="1" applyFill="1" applyBorder="1" applyAlignment="1">
      <alignment horizontal="center" vertical="center" wrapText="1"/>
    </xf>
    <xf numFmtId="4" fontId="19" fillId="3" borderId="25" xfId="2" applyNumberFormat="1" applyFont="1" applyFill="1" applyBorder="1" applyAlignment="1">
      <alignment horizontal="center" vertical="center" wrapText="1"/>
    </xf>
    <xf numFmtId="0" fontId="19" fillId="3" borderId="0" xfId="2" applyFont="1" applyFill="1" applyAlignment="1">
      <alignment horizontal="center" vertical="center" wrapText="1"/>
    </xf>
    <xf numFmtId="1" fontId="19" fillId="3" borderId="25" xfId="2" applyNumberFormat="1" applyFont="1" applyFill="1" applyBorder="1" applyAlignment="1">
      <alignment horizontal="center" vertical="center" wrapText="1"/>
    </xf>
    <xf numFmtId="1" fontId="19" fillId="3" borderId="0" xfId="2" applyNumberFormat="1" applyFont="1" applyFill="1" applyAlignment="1">
      <alignment horizontal="center" vertical="center" wrapText="1"/>
    </xf>
    <xf numFmtId="0" fontId="19" fillId="3" borderId="25" xfId="2" applyFont="1" applyFill="1" applyBorder="1" applyAlignment="1">
      <alignment vertical="center" wrapText="1"/>
    </xf>
    <xf numFmtId="1" fontId="19" fillId="3" borderId="28" xfId="2" applyNumberFormat="1" applyFont="1" applyFill="1" applyBorder="1" applyAlignment="1">
      <alignment horizontal="center" vertical="center" wrapText="1"/>
    </xf>
    <xf numFmtId="1" fontId="19" fillId="3" borderId="28" xfId="2" applyNumberFormat="1" applyFont="1" applyFill="1" applyBorder="1" applyAlignment="1">
      <alignment vertical="center" wrapText="1"/>
    </xf>
    <xf numFmtId="0" fontId="19" fillId="3" borderId="0" xfId="6" applyFont="1" applyFill="1" applyAlignment="1">
      <alignment wrapText="1"/>
    </xf>
    <xf numFmtId="0" fontId="19" fillId="3" borderId="0" xfId="6" applyFont="1" applyFill="1" applyAlignment="1"/>
    <xf numFmtId="164" fontId="19" fillId="3" borderId="25" xfId="2" applyNumberFormat="1" applyFont="1" applyFill="1" applyBorder="1" applyAlignment="1">
      <alignment horizontal="center" vertical="center" wrapText="1"/>
    </xf>
    <xf numFmtId="1" fontId="19" fillId="3" borderId="25" xfId="2" applyNumberFormat="1" applyFont="1" applyFill="1" applyBorder="1" applyAlignment="1">
      <alignment vertical="center" wrapText="1"/>
    </xf>
    <xf numFmtId="0" fontId="14" fillId="2" borderId="0" xfId="5" applyFont="1" applyFill="1" applyAlignment="1" applyProtection="1">
      <alignment horizontal="center" vertical="center"/>
    </xf>
    <xf numFmtId="0" fontId="14" fillId="2" borderId="0" xfId="5" applyFont="1" applyFill="1" applyAlignment="1" applyProtection="1">
      <alignment vertical="center"/>
    </xf>
    <xf numFmtId="0" fontId="14" fillId="2" borderId="0" xfId="5" applyFont="1" applyFill="1" applyAlignment="1" applyProtection="1">
      <alignment horizontal="center" vertical="center" wrapText="1"/>
    </xf>
    <xf numFmtId="0" fontId="52" fillId="2" borderId="0" xfId="6" applyFont="1" applyFill="1" applyAlignment="1">
      <alignment horizontal="center"/>
    </xf>
    <xf numFmtId="0" fontId="27" fillId="2" borderId="0" xfId="6" applyFont="1" applyFill="1"/>
    <xf numFmtId="0" fontId="22" fillId="2" borderId="0" xfId="6" applyFont="1" applyFill="1" applyAlignment="1"/>
    <xf numFmtId="0" fontId="30" fillId="2" borderId="1" xfId="6" applyFont="1" applyFill="1" applyBorder="1" applyAlignment="1">
      <alignment vertical="center" wrapText="1"/>
    </xf>
    <xf numFmtId="0" fontId="33" fillId="2" borderId="0" xfId="6" applyFont="1" applyFill="1" applyAlignment="1"/>
    <xf numFmtId="0" fontId="53" fillId="2" borderId="8" xfId="6" applyFont="1" applyFill="1" applyBorder="1" applyAlignment="1"/>
    <xf numFmtId="0" fontId="2" fillId="2" borderId="0" xfId="6" applyFont="1" applyFill="1" applyAlignment="1"/>
    <xf numFmtId="0" fontId="6" fillId="2" borderId="0" xfId="2" applyFont="1" applyFill="1" applyAlignment="1">
      <alignment vertical="center"/>
    </xf>
    <xf numFmtId="167" fontId="40" fillId="2" borderId="0" xfId="2" applyNumberFormat="1" applyFont="1" applyFill="1" applyAlignment="1">
      <alignment vertical="center" wrapText="1"/>
    </xf>
    <xf numFmtId="167" fontId="20" fillId="2" borderId="0" xfId="2" applyNumberFormat="1" applyFont="1" applyFill="1" applyAlignment="1">
      <alignment vertical="center" wrapText="1"/>
    </xf>
    <xf numFmtId="167" fontId="41" fillId="2" borderId="0" xfId="2" applyNumberFormat="1" applyFont="1" applyFill="1" applyAlignment="1">
      <alignment vertical="center" wrapText="1"/>
    </xf>
    <xf numFmtId="1" fontId="19" fillId="2" borderId="1" xfId="6" applyNumberFormat="1" applyFont="1" applyFill="1" applyBorder="1" applyAlignment="1">
      <alignment vertical="center" wrapText="1"/>
    </xf>
    <xf numFmtId="0" fontId="6" fillId="2" borderId="0" xfId="6" applyFont="1" applyFill="1" applyAlignment="1">
      <alignment vertical="center" wrapText="1"/>
    </xf>
    <xf numFmtId="167" fontId="17" fillId="2" borderId="0" xfId="2" applyNumberFormat="1" applyFont="1" applyFill="1" applyAlignment="1">
      <alignment vertical="center" wrapText="1"/>
    </xf>
    <xf numFmtId="167" fontId="16" fillId="2" borderId="0" xfId="2" applyNumberFormat="1" applyFont="1" applyFill="1" applyAlignment="1">
      <alignment vertical="center" wrapText="1"/>
    </xf>
    <xf numFmtId="167" fontId="15" fillId="2" borderId="0" xfId="2" applyNumberFormat="1" applyFont="1" applyFill="1" applyAlignment="1">
      <alignment vertical="center" wrapText="1"/>
    </xf>
    <xf numFmtId="0" fontId="10" fillId="2" borderId="0" xfId="2" applyFont="1" applyFill="1" applyAlignment="1">
      <alignment vertical="center" wrapText="1"/>
    </xf>
    <xf numFmtId="0" fontId="19" fillId="2" borderId="1" xfId="0" applyFont="1" applyFill="1" applyBorder="1" applyAlignment="1">
      <alignment horizontal="center"/>
    </xf>
    <xf numFmtId="0" fontId="22" fillId="2" borderId="0" xfId="6" applyFont="1" applyFill="1" applyAlignment="1">
      <alignment horizontal="center" vertical="center"/>
    </xf>
    <xf numFmtId="0" fontId="6" fillId="2" borderId="9" xfId="6" applyFont="1" applyFill="1" applyBorder="1" applyAlignment="1">
      <alignment horizontal="center" vertical="center"/>
    </xf>
    <xf numFmtId="0" fontId="30" fillId="2" borderId="9" xfId="6" applyFont="1" applyFill="1" applyBorder="1" applyAlignment="1">
      <alignment horizontal="center" vertical="center"/>
    </xf>
    <xf numFmtId="0" fontId="33" fillId="2" borderId="5" xfId="6" applyFont="1" applyFill="1" applyBorder="1" applyAlignment="1">
      <alignment horizontal="center" vertical="center"/>
    </xf>
    <xf numFmtId="0" fontId="33" fillId="2" borderId="0" xfId="6" applyFont="1" applyFill="1" applyAlignment="1">
      <alignment horizontal="center" vertical="center"/>
    </xf>
    <xf numFmtId="0" fontId="22" fillId="2" borderId="5" xfId="6" applyFont="1" applyFill="1" applyBorder="1" applyAlignment="1">
      <alignment horizontal="center" vertical="center"/>
    </xf>
    <xf numFmtId="0" fontId="53" fillId="2" borderId="7" xfId="6" applyFont="1" applyFill="1" applyBorder="1" applyAlignment="1">
      <alignment horizontal="center" vertical="center"/>
    </xf>
    <xf numFmtId="0" fontId="53" fillId="2" borderId="8" xfId="6" applyFont="1" applyFill="1" applyBorder="1" applyAlignment="1">
      <alignment horizontal="center" vertical="center"/>
    </xf>
    <xf numFmtId="0" fontId="2" fillId="2" borderId="0" xfId="6" applyFont="1" applyFill="1" applyAlignment="1">
      <alignment horizontal="center" vertical="center"/>
    </xf>
    <xf numFmtId="0" fontId="19" fillId="2" borderId="1" xfId="0" applyFont="1" applyFill="1" applyBorder="1" applyAlignment="1">
      <alignment horizontal="center" vertical="center"/>
    </xf>
    <xf numFmtId="0" fontId="35" fillId="2" borderId="1" xfId="6" applyFont="1" applyFill="1" applyBorder="1" applyAlignment="1">
      <alignment horizontal="center" vertical="center"/>
    </xf>
    <xf numFmtId="0" fontId="35" fillId="2" borderId="0" xfId="6" applyFont="1" applyFill="1" applyBorder="1" applyAlignment="1">
      <alignment horizontal="center" vertical="center"/>
    </xf>
    <xf numFmtId="0" fontId="19" fillId="2" borderId="29" xfId="6" applyFont="1" applyFill="1" applyBorder="1" applyAlignment="1">
      <alignment horizontal="center" vertical="center"/>
    </xf>
    <xf numFmtId="0" fontId="19" fillId="2" borderId="0" xfId="6" applyFont="1" applyFill="1" applyAlignment="1">
      <alignment horizontal="center" vertical="center"/>
    </xf>
    <xf numFmtId="0" fontId="36" fillId="2" borderId="0" xfId="6" applyFont="1" applyFill="1" applyAlignment="1">
      <alignment horizontal="center" vertical="center"/>
    </xf>
    <xf numFmtId="2" fontId="6" fillId="2" borderId="1" xfId="6" applyNumberFormat="1" applyFont="1" applyFill="1" applyBorder="1" applyAlignment="1">
      <alignment horizontal="center" vertical="center"/>
    </xf>
    <xf numFmtId="0" fontId="33" fillId="2" borderId="6" xfId="6" applyFont="1" applyFill="1" applyBorder="1" applyAlignment="1">
      <alignment horizontal="center" vertical="center"/>
    </xf>
    <xf numFmtId="0" fontId="26" fillId="2" borderId="0" xfId="6" applyFont="1" applyFill="1" applyAlignment="1">
      <alignment horizontal="center" vertical="center"/>
    </xf>
    <xf numFmtId="0" fontId="22" fillId="2" borderId="6" xfId="6" applyFont="1" applyFill="1" applyBorder="1" applyAlignment="1">
      <alignment horizontal="center" vertical="center"/>
    </xf>
    <xf numFmtId="0" fontId="53" fillId="2" borderId="15" xfId="6"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 fontId="35" fillId="2" borderId="1" xfId="6" applyNumberFormat="1" applyFont="1" applyFill="1" applyBorder="1" applyAlignment="1">
      <alignment horizontal="center" vertical="center" wrapText="1"/>
    </xf>
    <xf numFmtId="0" fontId="35" fillId="2" borderId="1" xfId="6" applyFont="1" applyFill="1" applyBorder="1" applyAlignment="1">
      <alignment horizontal="center" vertical="center" wrapText="1"/>
    </xf>
    <xf numFmtId="49" fontId="19" fillId="2" borderId="1" xfId="6" applyNumberFormat="1" applyFont="1" applyFill="1" applyBorder="1" applyAlignment="1">
      <alignment horizontal="center" vertical="center"/>
    </xf>
    <xf numFmtId="1" fontId="35" fillId="2" borderId="0" xfId="6" applyNumberFormat="1" applyFont="1" applyFill="1" applyBorder="1" applyAlignment="1">
      <alignment horizontal="center" vertical="center" wrapText="1"/>
    </xf>
    <xf numFmtId="0" fontId="35" fillId="2" borderId="0" xfId="6" applyFont="1" applyFill="1" applyBorder="1" applyAlignment="1">
      <alignment horizontal="center" vertical="center" wrapText="1"/>
    </xf>
    <xf numFmtId="1" fontId="19" fillId="2" borderId="29" xfId="6" applyNumberFormat="1" applyFont="1" applyFill="1" applyBorder="1" applyAlignment="1">
      <alignment horizontal="center" vertical="center" wrapText="1"/>
    </xf>
    <xf numFmtId="0" fontId="19" fillId="2" borderId="29" xfId="6" applyFont="1" applyFill="1" applyBorder="1" applyAlignment="1">
      <alignment horizontal="center" vertical="center" wrapText="1"/>
    </xf>
    <xf numFmtId="0" fontId="19" fillId="2" borderId="14" xfId="6" applyFont="1" applyFill="1" applyBorder="1" applyAlignment="1">
      <alignment horizontal="center" vertical="center"/>
    </xf>
    <xf numFmtId="1" fontId="19" fillId="2" borderId="29" xfId="6" applyNumberFormat="1" applyFont="1" applyFill="1" applyBorder="1" applyAlignment="1">
      <alignment horizontal="center" vertical="center"/>
    </xf>
    <xf numFmtId="164" fontId="22" fillId="2" borderId="0" xfId="6" applyNumberFormat="1" applyFont="1" applyFill="1" applyAlignment="1">
      <alignment horizontal="center" vertical="center"/>
    </xf>
    <xf numFmtId="1" fontId="22" fillId="2" borderId="0" xfId="6" applyNumberFormat="1" applyFont="1" applyFill="1" applyAlignment="1">
      <alignment horizontal="center" vertical="center"/>
    </xf>
    <xf numFmtId="0" fontId="22" fillId="2" borderId="0" xfId="6" applyFont="1" applyFill="1" applyAlignment="1">
      <alignment horizontal="center" vertical="center" wrapText="1"/>
    </xf>
    <xf numFmtId="0" fontId="39" fillId="2" borderId="0" xfId="6" applyFont="1" applyFill="1" applyAlignment="1">
      <alignment horizontal="center" vertical="center" wrapText="1"/>
    </xf>
    <xf numFmtId="164" fontId="36" fillId="2" borderId="0" xfId="6" applyNumberFormat="1" applyFont="1" applyFill="1" applyAlignment="1">
      <alignment horizontal="center" vertical="center"/>
    </xf>
    <xf numFmtId="1" fontId="36" fillId="2" borderId="0" xfId="6" applyNumberFormat="1" applyFont="1" applyFill="1" applyAlignment="1">
      <alignment horizontal="center" vertical="center"/>
    </xf>
    <xf numFmtId="0" fontId="36" fillId="2" borderId="0" xfId="6" applyFont="1" applyFill="1" applyAlignment="1">
      <alignment horizontal="center" vertical="center" wrapText="1"/>
    </xf>
    <xf numFmtId="1" fontId="10" fillId="2" borderId="0" xfId="2" applyNumberFormat="1" applyFont="1" applyFill="1" applyBorder="1" applyAlignment="1">
      <alignment horizontal="left" vertical="center" wrapText="1"/>
    </xf>
    <xf numFmtId="0" fontId="10" fillId="2" borderId="0" xfId="2" applyFont="1" applyFill="1" applyBorder="1" applyAlignment="1">
      <alignment horizontal="left" vertical="center" wrapText="1"/>
    </xf>
    <xf numFmtId="0" fontId="50" fillId="2" borderId="0" xfId="0" applyFont="1" applyFill="1" applyBorder="1" applyAlignment="1">
      <alignment horizontal="left" vertical="center"/>
    </xf>
    <xf numFmtId="0" fontId="50" fillId="2" borderId="0" xfId="0" applyFont="1" applyFill="1" applyBorder="1" applyAlignment="1">
      <alignment horizontal="left"/>
    </xf>
    <xf numFmtId="49" fontId="50" fillId="2" borderId="0" xfId="0" applyNumberFormat="1" applyFont="1" applyFill="1" applyBorder="1" applyAlignment="1">
      <alignment horizontal="left" vertical="center" wrapText="1"/>
    </xf>
    <xf numFmtId="0" fontId="50" fillId="2" borderId="0" xfId="6" applyFont="1" applyFill="1" applyBorder="1" applyAlignment="1">
      <alignment horizontal="left" vertical="center"/>
    </xf>
    <xf numFmtId="1" fontId="50" fillId="2" borderId="0" xfId="6" applyNumberFormat="1" applyFont="1" applyFill="1" applyBorder="1" applyAlignment="1">
      <alignment horizontal="left" vertical="center" wrapText="1"/>
    </xf>
    <xf numFmtId="0" fontId="50" fillId="2" borderId="0" xfId="6" applyFont="1" applyFill="1" applyBorder="1" applyAlignment="1">
      <alignment horizontal="left" vertical="center" wrapText="1"/>
    </xf>
    <xf numFmtId="0" fontId="50" fillId="2" borderId="0" xfId="6" applyFont="1" applyFill="1" applyBorder="1" applyAlignment="1">
      <alignment horizontal="left"/>
    </xf>
    <xf numFmtId="0" fontId="25" fillId="2" borderId="0" xfId="0" applyFont="1" applyFill="1" applyBorder="1" applyAlignment="1">
      <alignment horizontal="left" vertical="center"/>
    </xf>
    <xf numFmtId="0" fontId="25" fillId="2" borderId="0" xfId="0" applyFont="1" applyFill="1" applyBorder="1" applyAlignment="1">
      <alignment horizontal="left"/>
    </xf>
    <xf numFmtId="49" fontId="25" fillId="2" borderId="0" xfId="0" applyNumberFormat="1" applyFont="1" applyFill="1" applyBorder="1" applyAlignment="1">
      <alignment horizontal="left" vertical="center" wrapText="1"/>
    </xf>
    <xf numFmtId="0" fontId="25" fillId="2" borderId="0" xfId="6" applyFont="1" applyFill="1" applyBorder="1" applyAlignment="1">
      <alignment horizontal="left" vertical="center"/>
    </xf>
    <xf numFmtId="1" fontId="25" fillId="2" borderId="0" xfId="6" applyNumberFormat="1" applyFont="1" applyFill="1" applyBorder="1" applyAlignment="1">
      <alignment horizontal="left" vertical="center" wrapText="1"/>
    </xf>
    <xf numFmtId="0" fontId="25" fillId="2" borderId="0" xfId="6" applyFont="1" applyFill="1" applyBorder="1" applyAlignment="1">
      <alignment horizontal="left" vertical="center" wrapText="1"/>
    </xf>
    <xf numFmtId="0" fontId="25" fillId="2" borderId="0" xfId="6" applyFont="1" applyFill="1" applyBorder="1" applyAlignment="1">
      <alignment horizontal="left"/>
    </xf>
    <xf numFmtId="49" fontId="25" fillId="2" borderId="0" xfId="0" applyNumberFormat="1" applyFont="1" applyFill="1" applyBorder="1" applyAlignment="1">
      <alignment horizontal="left" vertical="center"/>
    </xf>
    <xf numFmtId="0" fontId="51" fillId="2" borderId="0" xfId="0" applyFont="1" applyFill="1" applyBorder="1" applyAlignment="1">
      <alignment horizontal="left" vertical="center"/>
    </xf>
    <xf numFmtId="0" fontId="51" fillId="2" borderId="0" xfId="6" applyFont="1" applyFill="1" applyBorder="1" applyAlignment="1">
      <alignment horizontal="left" vertical="center"/>
    </xf>
    <xf numFmtId="0" fontId="51" fillId="2" borderId="0" xfId="6" applyFont="1" applyFill="1" applyBorder="1" applyAlignment="1">
      <alignment horizontal="left"/>
    </xf>
    <xf numFmtId="0" fontId="10" fillId="2" borderId="0" xfId="0" applyFont="1" applyFill="1" applyBorder="1" applyAlignment="1">
      <alignment horizontal="left" vertical="center"/>
    </xf>
    <xf numFmtId="0" fontId="10" fillId="2" borderId="0" xfId="6" applyFont="1" applyFill="1" applyBorder="1" applyAlignment="1">
      <alignment horizontal="left" vertical="center"/>
    </xf>
    <xf numFmtId="0" fontId="10" fillId="2" borderId="0" xfId="6" applyFont="1" applyFill="1" applyBorder="1" applyAlignment="1">
      <alignment horizontal="left"/>
    </xf>
    <xf numFmtId="49" fontId="10" fillId="2" borderId="0" xfId="0" applyNumberFormat="1" applyFont="1" applyFill="1" applyBorder="1" applyAlignment="1">
      <alignment horizontal="left" vertical="center"/>
    </xf>
    <xf numFmtId="164" fontId="10" fillId="2" borderId="0" xfId="2" applyNumberFormat="1" applyFont="1" applyFill="1" applyBorder="1" applyAlignment="1">
      <alignment horizontal="left" vertical="center"/>
    </xf>
    <xf numFmtId="0" fontId="50" fillId="2" borderId="0" xfId="0" applyFont="1" applyFill="1" applyBorder="1" applyAlignment="1">
      <alignment horizontal="left" wrapText="1"/>
    </xf>
    <xf numFmtId="164" fontId="50" fillId="2" borderId="0" xfId="6" applyNumberFormat="1" applyFont="1" applyFill="1" applyBorder="1" applyAlignment="1">
      <alignment horizontal="left" vertical="center"/>
    </xf>
    <xf numFmtId="0" fontId="25" fillId="2" borderId="0" xfId="0" applyFont="1" applyFill="1" applyBorder="1" applyAlignment="1">
      <alignment horizontal="left" wrapText="1"/>
    </xf>
    <xf numFmtId="164" fontId="25" fillId="2" borderId="0" xfId="6" applyNumberFormat="1" applyFont="1" applyFill="1" applyBorder="1" applyAlignment="1">
      <alignment horizontal="left" vertical="center"/>
    </xf>
    <xf numFmtId="1" fontId="10" fillId="0" borderId="0" xfId="2" applyNumberFormat="1" applyFont="1" applyFill="1" applyBorder="1" applyAlignment="1">
      <alignment horizontal="left" vertical="center" wrapText="1"/>
    </xf>
    <xf numFmtId="0" fontId="25" fillId="0" borderId="0" xfId="0" applyFont="1" applyFill="1" applyBorder="1" applyAlignment="1">
      <alignment horizontal="left"/>
    </xf>
    <xf numFmtId="49" fontId="25" fillId="0" borderId="0" xfId="0" applyNumberFormat="1" applyFont="1" applyFill="1" applyBorder="1" applyAlignment="1">
      <alignment horizontal="left" wrapText="1"/>
    </xf>
    <xf numFmtId="0" fontId="25" fillId="0" borderId="0" xfId="6" applyFont="1" applyFill="1" applyBorder="1" applyAlignment="1">
      <alignment horizontal="left"/>
    </xf>
    <xf numFmtId="1" fontId="25" fillId="0" borderId="0" xfId="6" applyNumberFormat="1" applyFont="1" applyFill="1" applyBorder="1" applyAlignment="1">
      <alignment horizontal="left" wrapText="1"/>
    </xf>
    <xf numFmtId="49" fontId="25" fillId="0" borderId="0" xfId="0" applyNumberFormat="1" applyFont="1" applyFill="1" applyBorder="1" applyAlignment="1">
      <alignment horizontal="left"/>
    </xf>
    <xf numFmtId="0" fontId="5" fillId="0" borderId="9" xfId="1" applyFont="1" applyFill="1" applyBorder="1" applyAlignment="1" applyProtection="1">
      <alignment horizontal="left" vertical="center" wrapText="1"/>
    </xf>
    <xf numFmtId="165" fontId="5" fillId="0" borderId="1" xfId="1" applyNumberFormat="1" applyFont="1" applyFill="1" applyBorder="1" applyAlignment="1" applyProtection="1">
      <alignment horizontal="left" vertical="center" wrapText="1"/>
    </xf>
    <xf numFmtId="165" fontId="5" fillId="0" borderId="1" xfId="1" applyNumberFormat="1" applyFont="1" applyFill="1" applyBorder="1" applyAlignment="1" applyProtection="1">
      <alignment horizontal="center" vertical="center" wrapText="1"/>
    </xf>
    <xf numFmtId="165" fontId="5" fillId="0" borderId="10" xfId="1" applyNumberFormat="1" applyFont="1" applyFill="1" applyBorder="1" applyAlignment="1" applyProtection="1">
      <alignment horizontal="center" vertical="center" wrapText="1"/>
    </xf>
    <xf numFmtId="49" fontId="9" fillId="0" borderId="9" xfId="1" applyNumberFormat="1" applyFont="1" applyFill="1" applyBorder="1" applyAlignment="1" applyProtection="1">
      <alignment horizontal="center" vertical="center" wrapText="1"/>
    </xf>
    <xf numFmtId="165" fontId="9" fillId="0" borderId="1" xfId="1" applyNumberFormat="1" applyFont="1" applyFill="1" applyBorder="1" applyAlignment="1" applyProtection="1">
      <alignment horizontal="right" vertical="center" wrapText="1"/>
    </xf>
    <xf numFmtId="165" fontId="9" fillId="0" borderId="1" xfId="1" applyNumberFormat="1" applyFont="1" applyFill="1" applyBorder="1" applyAlignment="1" applyProtection="1">
      <alignment horizontal="center" vertical="center" wrapText="1"/>
    </xf>
    <xf numFmtId="165" fontId="9" fillId="0" borderId="10" xfId="1" applyNumberFormat="1" applyFont="1" applyFill="1" applyBorder="1" applyAlignment="1" applyProtection="1">
      <alignment horizontal="center" vertical="center" wrapText="1"/>
    </xf>
    <xf numFmtId="0" fontId="8" fillId="0" borderId="0" xfId="1" applyFont="1" applyFill="1" applyAlignment="1" applyProtection="1">
      <alignment horizontal="center" vertical="center" wrapText="1"/>
    </xf>
    <xf numFmtId="39" fontId="8" fillId="0" borderId="0" xfId="1" applyNumberFormat="1" applyFont="1" applyFill="1" applyAlignment="1" applyProtection="1">
      <alignment horizontal="center" vertical="center" wrapText="1"/>
    </xf>
    <xf numFmtId="0" fontId="8" fillId="0" borderId="0" xfId="1" applyFont="1" applyFill="1" applyAlignment="1" applyProtection="1">
      <alignment horizontal="left" vertical="center" wrapText="1"/>
    </xf>
    <xf numFmtId="49" fontId="7" fillId="0" borderId="32" xfId="1" applyNumberFormat="1" applyFont="1" applyFill="1" applyBorder="1" applyAlignment="1" applyProtection="1">
      <alignment horizontal="center" vertical="center" wrapText="1"/>
    </xf>
    <xf numFmtId="165" fontId="7" fillId="0" borderId="31" xfId="1" applyNumberFormat="1" applyFont="1" applyFill="1" applyBorder="1" applyAlignment="1" applyProtection="1">
      <alignment horizontal="right" vertical="center" wrapText="1"/>
    </xf>
    <xf numFmtId="165" fontId="7" fillId="0" borderId="31" xfId="1" applyNumberFormat="1" applyFont="1" applyFill="1" applyBorder="1" applyAlignment="1" applyProtection="1">
      <alignment horizontal="center" vertical="center" wrapText="1"/>
    </xf>
    <xf numFmtId="165" fontId="7" fillId="0" borderId="33" xfId="1" applyNumberFormat="1" applyFont="1" applyFill="1" applyBorder="1" applyAlignment="1" applyProtection="1">
      <alignment horizontal="center" vertical="center" wrapText="1"/>
    </xf>
    <xf numFmtId="39" fontId="49" fillId="0" borderId="0" xfId="1" applyNumberFormat="1" applyFont="1" applyFill="1" applyAlignment="1" applyProtection="1">
      <alignment horizontal="center" vertical="center" wrapText="1"/>
    </xf>
    <xf numFmtId="0" fontId="49" fillId="0" borderId="0" xfId="1" applyFont="1" applyFill="1" applyAlignment="1" applyProtection="1">
      <alignment horizontal="left" vertical="center" wrapText="1"/>
    </xf>
    <xf numFmtId="0" fontId="46" fillId="0" borderId="17" xfId="1" applyFont="1" applyFill="1" applyBorder="1" applyAlignment="1" applyProtection="1">
      <alignment horizontal="left" vertical="center" wrapText="1"/>
    </xf>
    <xf numFmtId="165" fontId="9" fillId="0" borderId="16" xfId="1" applyNumberFormat="1" applyFont="1" applyFill="1" applyBorder="1" applyAlignment="1" applyProtection="1">
      <alignment horizontal="right" vertical="center" wrapText="1"/>
    </xf>
    <xf numFmtId="0" fontId="47" fillId="0" borderId="0" xfId="1" applyFont="1" applyFill="1" applyAlignment="1" applyProtection="1">
      <alignment horizontal="left" vertical="center" wrapText="1"/>
    </xf>
    <xf numFmtId="165" fontId="5" fillId="0" borderId="0" xfId="1" applyNumberFormat="1" applyFont="1" applyFill="1" applyAlignment="1" applyProtection="1">
      <alignment horizontal="left" vertical="center" wrapText="1"/>
    </xf>
    <xf numFmtId="165" fontId="5" fillId="0" borderId="0" xfId="1" applyNumberFormat="1" applyFont="1" applyFill="1" applyAlignment="1" applyProtection="1">
      <alignment horizontal="center" vertical="center" wrapText="1"/>
    </xf>
    <xf numFmtId="0" fontId="24" fillId="2" borderId="0" xfId="6" applyFont="1" applyFill="1" applyBorder="1" applyAlignment="1">
      <alignment wrapText="1"/>
    </xf>
    <xf numFmtId="0" fontId="24" fillId="2" borderId="0" xfId="6" applyFont="1" applyFill="1" applyBorder="1" applyAlignment="1">
      <alignment horizontal="center" vertical="center" wrapText="1"/>
    </xf>
    <xf numFmtId="0" fontId="19" fillId="2" borderId="1" xfId="0" applyFont="1" applyFill="1" applyBorder="1" applyAlignment="1">
      <alignment horizontal="left" vertical="center"/>
    </xf>
    <xf numFmtId="0" fontId="35" fillId="2" borderId="1" xfId="6" applyFont="1" applyFill="1" applyBorder="1" applyAlignment="1">
      <alignment horizontal="left" vertical="center"/>
    </xf>
    <xf numFmtId="0" fontId="19" fillId="2" borderId="1" xfId="6" applyFont="1" applyFill="1" applyBorder="1" applyAlignment="1">
      <alignment horizontal="left" vertical="center"/>
    </xf>
    <xf numFmtId="164" fontId="19" fillId="2" borderId="1" xfId="0" applyNumberFormat="1" applyFont="1" applyFill="1" applyBorder="1" applyAlignment="1">
      <alignment horizontal="left" vertical="center"/>
    </xf>
    <xf numFmtId="0" fontId="35" fillId="2" borderId="0" xfId="6" applyFont="1" applyFill="1" applyBorder="1" applyAlignment="1">
      <alignment horizontal="left" vertical="center"/>
    </xf>
    <xf numFmtId="0" fontId="19" fillId="2" borderId="29" xfId="6" applyFont="1" applyFill="1" applyBorder="1" applyAlignment="1">
      <alignment horizontal="left" vertical="center"/>
    </xf>
    <xf numFmtId="0" fontId="19" fillId="2" borderId="0" xfId="6" applyFont="1" applyFill="1" applyAlignment="1">
      <alignment horizontal="left" vertical="center"/>
    </xf>
    <xf numFmtId="49" fontId="19" fillId="2" borderId="0" xfId="2" applyNumberFormat="1" applyFont="1" applyFill="1" applyBorder="1" applyAlignment="1">
      <alignment horizontal="left" vertical="center" wrapText="1"/>
    </xf>
    <xf numFmtId="0" fontId="19" fillId="2" borderId="1" xfId="0" applyFont="1" applyFill="1" applyBorder="1" applyAlignment="1">
      <alignment horizontal="left" vertical="center" wrapText="1"/>
    </xf>
    <xf numFmtId="0" fontId="35" fillId="2" borderId="1" xfId="6" applyFont="1" applyFill="1" applyBorder="1" applyAlignment="1">
      <alignment horizontal="left" vertical="center" wrapText="1"/>
    </xf>
    <xf numFmtId="164" fontId="19" fillId="2" borderId="1" xfId="0" applyNumberFormat="1" applyFont="1" applyFill="1" applyBorder="1" applyAlignment="1">
      <alignment horizontal="left" vertical="center" wrapText="1"/>
    </xf>
    <xf numFmtId="0" fontId="35" fillId="2" borderId="0" xfId="6" applyFont="1" applyFill="1" applyBorder="1" applyAlignment="1">
      <alignment horizontal="left" vertical="center" wrapText="1"/>
    </xf>
    <xf numFmtId="0" fontId="19" fillId="2" borderId="29" xfId="6" applyFont="1" applyFill="1" applyBorder="1" applyAlignment="1">
      <alignment horizontal="left" vertical="center" wrapText="1"/>
    </xf>
    <xf numFmtId="0" fontId="19" fillId="2" borderId="30" xfId="6" applyFont="1" applyFill="1" applyBorder="1" applyAlignment="1">
      <alignment horizontal="left" vertical="center" wrapText="1"/>
    </xf>
    <xf numFmtId="1" fontId="10" fillId="2" borderId="0" xfId="2" applyNumberFormat="1" applyFont="1" applyFill="1" applyBorder="1" applyAlignment="1">
      <alignment horizontal="left" vertical="center"/>
    </xf>
    <xf numFmtId="49" fontId="51" fillId="2" borderId="0" xfId="0" applyNumberFormat="1" applyFont="1" applyFill="1" applyBorder="1" applyAlignment="1">
      <alignment horizontal="left" vertical="center"/>
    </xf>
    <xf numFmtId="1" fontId="51" fillId="2" borderId="0" xfId="6" applyNumberFormat="1" applyFont="1" applyFill="1" applyBorder="1" applyAlignment="1">
      <alignment horizontal="left" vertical="center"/>
    </xf>
    <xf numFmtId="1" fontId="10" fillId="2" borderId="0" xfId="6" applyNumberFormat="1" applyFont="1" applyFill="1" applyBorder="1" applyAlignment="1">
      <alignment horizontal="left" vertical="center"/>
    </xf>
    <xf numFmtId="0" fontId="54" fillId="2" borderId="0" xfId="6" applyFont="1" applyFill="1" applyBorder="1" applyAlignment="1">
      <alignment horizontal="left" vertical="center"/>
    </xf>
    <xf numFmtId="0" fontId="54" fillId="2" borderId="0" xfId="6" applyFont="1" applyFill="1" applyBorder="1" applyAlignment="1">
      <alignment horizontal="left" vertical="center" wrapText="1"/>
    </xf>
    <xf numFmtId="0" fontId="54" fillId="2" borderId="0" xfId="6" applyFont="1" applyFill="1" applyBorder="1" applyAlignment="1">
      <alignment horizontal="center" vertical="center"/>
    </xf>
    <xf numFmtId="1" fontId="54" fillId="2" borderId="0" xfId="6" applyNumberFormat="1" applyFont="1" applyFill="1" applyBorder="1" applyAlignment="1">
      <alignment horizontal="center" vertical="center" wrapText="1"/>
    </xf>
    <xf numFmtId="0" fontId="54" fillId="2" borderId="0" xfId="6" applyFont="1" applyFill="1" applyBorder="1" applyAlignment="1">
      <alignment horizontal="center" vertical="center" wrapText="1"/>
    </xf>
    <xf numFmtId="0" fontId="54" fillId="2" borderId="0" xfId="6" applyFont="1" applyFill="1" applyBorder="1"/>
    <xf numFmtId="164" fontId="19" fillId="2" borderId="1" xfId="2" applyNumberFormat="1" applyFont="1" applyFill="1" applyBorder="1" applyAlignment="1">
      <alignment horizontal="center" vertical="center" wrapText="1"/>
    </xf>
    <xf numFmtId="2" fontId="19" fillId="2" borderId="1" xfId="6" applyNumberFormat="1" applyFont="1" applyFill="1" applyBorder="1" applyAlignment="1">
      <alignment horizontal="center" vertical="center" wrapText="1"/>
    </xf>
    <xf numFmtId="2" fontId="19" fillId="2" borderId="0" xfId="6" applyNumberFormat="1" applyFont="1" applyFill="1" applyAlignment="1">
      <alignment wrapText="1"/>
    </xf>
    <xf numFmtId="2" fontId="19" fillId="2" borderId="0" xfId="6" applyNumberFormat="1" applyFont="1" applyFill="1" applyAlignment="1">
      <alignment horizontal="center" wrapText="1"/>
    </xf>
    <xf numFmtId="1" fontId="29" fillId="2" borderId="1" xfId="2" applyNumberFormat="1" applyFont="1" applyFill="1" applyBorder="1" applyAlignment="1">
      <alignment horizontal="center" vertical="center" wrapText="1"/>
    </xf>
    <xf numFmtId="164" fontId="39" fillId="2" borderId="0" xfId="6" applyNumberFormat="1" applyFont="1" applyFill="1" applyAlignment="1">
      <alignment horizontal="center" vertical="center" wrapText="1"/>
    </xf>
    <xf numFmtId="1" fontId="39" fillId="2" borderId="0" xfId="6" applyNumberFormat="1" applyFont="1" applyFill="1" applyAlignment="1">
      <alignment horizontal="center" vertical="center" wrapText="1"/>
    </xf>
    <xf numFmtId="167" fontId="40" fillId="2" borderId="0" xfId="2" applyNumberFormat="1" applyFont="1" applyFill="1" applyAlignment="1">
      <alignment horizontal="center" vertical="center" wrapText="1"/>
    </xf>
    <xf numFmtId="164" fontId="40" fillId="2" borderId="0" xfId="2" applyNumberFormat="1" applyFont="1" applyFill="1" applyAlignment="1">
      <alignment horizontal="center" vertical="center" wrapText="1"/>
    </xf>
    <xf numFmtId="4" fontId="40" fillId="2" borderId="0" xfId="2" applyNumberFormat="1" applyFont="1" applyFill="1" applyAlignment="1">
      <alignment horizontal="center" vertical="center" wrapText="1"/>
    </xf>
    <xf numFmtId="1" fontId="40" fillId="2" borderId="0" xfId="2" applyNumberFormat="1" applyFont="1" applyFill="1" applyAlignment="1">
      <alignment horizontal="center" vertical="center" wrapText="1"/>
    </xf>
    <xf numFmtId="0" fontId="24" fillId="2" borderId="0" xfId="6" applyFont="1" applyFill="1" applyAlignment="1">
      <alignment horizontal="center" wrapText="1"/>
    </xf>
    <xf numFmtId="1" fontId="28" fillId="2" borderId="0" xfId="2" applyNumberFormat="1" applyFont="1" applyFill="1" applyBorder="1" applyAlignment="1">
      <alignment horizontal="center" vertical="center" wrapText="1"/>
    </xf>
    <xf numFmtId="164" fontId="24" fillId="2" borderId="0" xfId="6" applyNumberFormat="1" applyFont="1" applyFill="1" applyBorder="1" applyAlignment="1">
      <alignment horizontal="center" vertical="center" wrapText="1"/>
    </xf>
    <xf numFmtId="164" fontId="22" fillId="2" borderId="0" xfId="6" applyNumberFormat="1" applyFont="1" applyFill="1" applyAlignment="1">
      <alignment horizontal="center" vertical="center" wrapText="1"/>
    </xf>
    <xf numFmtId="1" fontId="22" fillId="2" borderId="0" xfId="6" applyNumberFormat="1" applyFont="1" applyFill="1" applyAlignment="1">
      <alignment horizontal="center" vertical="center" wrapText="1"/>
    </xf>
    <xf numFmtId="164" fontId="30" fillId="2" borderId="1" xfId="6" applyNumberFormat="1" applyFont="1" applyFill="1" applyBorder="1" applyAlignment="1">
      <alignment horizontal="center" vertical="center" wrapText="1"/>
    </xf>
    <xf numFmtId="0" fontId="30" fillId="2" borderId="1" xfId="6" applyFont="1" applyFill="1" applyBorder="1" applyAlignment="1">
      <alignment wrapText="1"/>
    </xf>
    <xf numFmtId="0" fontId="30" fillId="2" borderId="0" xfId="6" applyFont="1" applyFill="1" applyAlignment="1">
      <alignment horizontal="center" wrapText="1"/>
    </xf>
    <xf numFmtId="0" fontId="50" fillId="0" borderId="0" xfId="0" applyFont="1" applyFill="1" applyBorder="1" applyAlignment="1">
      <alignment horizontal="left"/>
    </xf>
    <xf numFmtId="0" fontId="55" fillId="0" borderId="0" xfId="0" applyFont="1" applyFill="1" applyBorder="1" applyAlignment="1">
      <alignment horizontal="left"/>
    </xf>
    <xf numFmtId="49" fontId="50" fillId="0" borderId="0" xfId="0" applyNumberFormat="1" applyFont="1" applyFill="1" applyBorder="1" applyAlignment="1">
      <alignment horizontal="left" wrapText="1"/>
    </xf>
    <xf numFmtId="0" fontId="50" fillId="0" borderId="0" xfId="6" applyFont="1" applyFill="1" applyBorder="1" applyAlignment="1">
      <alignment horizontal="left"/>
    </xf>
    <xf numFmtId="1" fontId="50" fillId="0" borderId="0" xfId="6" applyNumberFormat="1" applyFont="1" applyFill="1" applyBorder="1" applyAlignment="1">
      <alignment horizontal="left" wrapText="1"/>
    </xf>
    <xf numFmtId="0" fontId="19" fillId="3" borderId="1" xfId="6" applyFont="1" applyFill="1" applyBorder="1" applyAlignment="1">
      <alignment horizontal="left" vertical="center" wrapText="1"/>
    </xf>
    <xf numFmtId="0" fontId="19" fillId="3" borderId="1" xfId="6" applyFont="1" applyFill="1" applyBorder="1" applyAlignment="1">
      <alignment horizontal="center" vertical="center" wrapText="1"/>
    </xf>
    <xf numFmtId="1" fontId="19" fillId="3" borderId="1" xfId="6" applyNumberFormat="1" applyFont="1" applyFill="1" applyBorder="1" applyAlignment="1">
      <alignment horizontal="center" vertical="center" wrapText="1"/>
    </xf>
    <xf numFmtId="0" fontId="19" fillId="3" borderId="1" xfId="6" applyFont="1" applyFill="1" applyBorder="1" applyAlignment="1">
      <alignment horizontal="left" vertical="center"/>
    </xf>
    <xf numFmtId="0" fontId="19" fillId="3" borderId="1" xfId="6" applyFont="1" applyFill="1" applyBorder="1" applyAlignment="1">
      <alignment horizontal="center" vertical="center"/>
    </xf>
    <xf numFmtId="1" fontId="19" fillId="3" borderId="1" xfId="6" applyNumberFormat="1" applyFont="1" applyFill="1" applyBorder="1" applyAlignment="1">
      <alignment horizontal="center" vertical="center"/>
    </xf>
    <xf numFmtId="0" fontId="56" fillId="2" borderId="0" xfId="5" applyFont="1" applyFill="1" applyAlignment="1" applyProtection="1">
      <alignment horizontal="center" vertical="center"/>
    </xf>
    <xf numFmtId="0" fontId="56" fillId="2" borderId="0" xfId="5" applyFont="1" applyFill="1" applyAlignment="1" applyProtection="1">
      <alignment vertical="center"/>
    </xf>
    <xf numFmtId="0" fontId="58" fillId="2" borderId="0" xfId="5" applyFont="1" applyFill="1" applyAlignment="1" applyProtection="1">
      <alignment vertical="center"/>
    </xf>
    <xf numFmtId="0" fontId="58" fillId="2" borderId="0" xfId="5" applyFont="1" applyFill="1" applyAlignment="1" applyProtection="1">
      <alignment horizontal="center" vertical="center"/>
    </xf>
    <xf numFmtId="0" fontId="6" fillId="2" borderId="0" xfId="2" applyFont="1" applyFill="1" applyBorder="1" applyAlignment="1">
      <alignment horizontal="left" vertical="center"/>
    </xf>
    <xf numFmtId="0" fontId="6" fillId="2" borderId="0" xfId="2" applyFont="1" applyFill="1" applyBorder="1" applyAlignment="1">
      <alignment vertical="center"/>
    </xf>
    <xf numFmtId="0" fontId="6" fillId="2" borderId="0" xfId="2" applyFont="1" applyFill="1" applyBorder="1" applyAlignment="1">
      <alignment horizontal="center" vertical="center"/>
    </xf>
    <xf numFmtId="1" fontId="6" fillId="2" borderId="0" xfId="2" applyNumberFormat="1" applyFont="1" applyFill="1" applyBorder="1" applyAlignment="1">
      <alignment horizontal="center" vertical="center" wrapText="1"/>
    </xf>
    <xf numFmtId="0" fontId="6" fillId="2" borderId="0" xfId="2" applyFont="1" applyFill="1" applyBorder="1" applyAlignment="1">
      <alignment horizontal="center" vertical="center" wrapText="1"/>
    </xf>
    <xf numFmtId="0" fontId="58" fillId="2" borderId="0" xfId="0" applyFont="1" applyFill="1" applyBorder="1"/>
    <xf numFmtId="0" fontId="58" fillId="2" borderId="0" xfId="6" applyFont="1" applyFill="1" applyBorder="1" applyAlignment="1">
      <alignment horizontal="center"/>
    </xf>
    <xf numFmtId="1" fontId="58" fillId="2" borderId="0" xfId="6" applyNumberFormat="1" applyFont="1" applyFill="1" applyBorder="1" applyAlignment="1">
      <alignment horizontal="center" wrapText="1"/>
    </xf>
    <xf numFmtId="0" fontId="58" fillId="2" borderId="0" xfId="6" applyFont="1" applyFill="1" applyBorder="1" applyAlignment="1">
      <alignment horizontal="center" wrapText="1"/>
    </xf>
    <xf numFmtId="0" fontId="58" fillId="2" borderId="0" xfId="6" applyFont="1" applyFill="1" applyBorder="1"/>
    <xf numFmtId="0" fontId="6" fillId="2" borderId="0" xfId="0" applyFont="1" applyFill="1" applyBorder="1"/>
    <xf numFmtId="0" fontId="6" fillId="2" borderId="0" xfId="6" applyFont="1" applyFill="1" applyBorder="1" applyAlignment="1">
      <alignment horizontal="center"/>
    </xf>
    <xf numFmtId="1" fontId="6" fillId="2" borderId="0" xfId="6" applyNumberFormat="1" applyFont="1" applyFill="1" applyBorder="1" applyAlignment="1">
      <alignment horizontal="center" wrapText="1"/>
    </xf>
    <xf numFmtId="0" fontId="6" fillId="2" borderId="0" xfId="6" applyFont="1" applyFill="1" applyBorder="1" applyAlignment="1">
      <alignment horizontal="center" wrapText="1"/>
    </xf>
    <xf numFmtId="0" fontId="6" fillId="2" borderId="0" xfId="6" applyFont="1" applyFill="1" applyBorder="1"/>
    <xf numFmtId="49" fontId="6" fillId="2" borderId="0" xfId="0" applyNumberFormat="1" applyFont="1" applyFill="1" applyBorder="1"/>
    <xf numFmtId="164" fontId="59" fillId="2" borderId="0" xfId="0" applyNumberFormat="1" applyFont="1" applyFill="1" applyBorder="1" applyAlignment="1">
      <alignment horizontal="center"/>
    </xf>
    <xf numFmtId="164" fontId="59" fillId="2" borderId="0" xfId="0" applyNumberFormat="1" applyFont="1" applyFill="1" applyBorder="1" applyAlignment="1">
      <alignment horizontal="left"/>
    </xf>
    <xf numFmtId="1" fontId="57" fillId="2" borderId="0" xfId="0" applyNumberFormat="1" applyFont="1" applyFill="1" applyBorder="1" applyAlignment="1">
      <alignment horizontal="center"/>
    </xf>
    <xf numFmtId="164" fontId="57" fillId="2" borderId="0" xfId="0" applyNumberFormat="1" applyFont="1" applyFill="1" applyBorder="1" applyAlignment="1">
      <alignment horizontal="center"/>
    </xf>
    <xf numFmtId="164" fontId="57" fillId="2" borderId="1" xfId="0" applyNumberFormat="1" applyFont="1" applyFill="1" applyBorder="1" applyAlignment="1">
      <alignment horizontal="left"/>
    </xf>
    <xf numFmtId="164" fontId="57" fillId="2" borderId="1" xfId="0" applyNumberFormat="1" applyFont="1" applyFill="1" applyBorder="1" applyAlignment="1">
      <alignment horizontal="center"/>
    </xf>
    <xf numFmtId="164" fontId="59" fillId="2" borderId="1" xfId="0" applyNumberFormat="1" applyFont="1" applyFill="1" applyBorder="1" applyAlignment="1">
      <alignment horizontal="left"/>
    </xf>
    <xf numFmtId="164" fontId="59" fillId="2" borderId="1" xfId="0" applyNumberFormat="1" applyFont="1" applyFill="1" applyBorder="1" applyAlignment="1">
      <alignment horizontal="center"/>
    </xf>
    <xf numFmtId="164" fontId="59" fillId="2" borderId="29" xfId="0" applyNumberFormat="1" applyFont="1" applyFill="1" applyBorder="1" applyAlignment="1">
      <alignment horizontal="left"/>
    </xf>
    <xf numFmtId="164" fontId="59" fillId="2" borderId="29" xfId="0" applyNumberFormat="1" applyFont="1" applyFill="1" applyBorder="1" applyAlignment="1">
      <alignment horizontal="center"/>
    </xf>
    <xf numFmtId="164" fontId="61" fillId="2" borderId="29" xfId="0" applyNumberFormat="1" applyFont="1" applyFill="1" applyBorder="1" applyAlignment="1">
      <alignment shrinkToFit="1"/>
    </xf>
    <xf numFmtId="164" fontId="62" fillId="2" borderId="29" xfId="0" applyNumberFormat="1" applyFont="1" applyFill="1" applyBorder="1"/>
    <xf numFmtId="164" fontId="62" fillId="2" borderId="0" xfId="0" applyNumberFormat="1" applyFont="1" applyFill="1" applyBorder="1"/>
    <xf numFmtId="164" fontId="60" fillId="2" borderId="29" xfId="0" applyNumberFormat="1" applyFont="1" applyFill="1" applyBorder="1"/>
    <xf numFmtId="164" fontId="59" fillId="2" borderId="0" xfId="0" applyNumberFormat="1" applyFont="1" applyFill="1" applyBorder="1"/>
    <xf numFmtId="164" fontId="59" fillId="2" borderId="29" xfId="0" applyNumberFormat="1" applyFont="1" applyFill="1" applyBorder="1"/>
    <xf numFmtId="164" fontId="60" fillId="2" borderId="29" xfId="0" applyNumberFormat="1" applyFont="1" applyFill="1" applyBorder="1" applyAlignment="1">
      <alignment horizontal="left"/>
    </xf>
    <xf numFmtId="164" fontId="60" fillId="2" borderId="29" xfId="0" applyNumberFormat="1" applyFont="1" applyFill="1" applyBorder="1" applyAlignment="1">
      <alignment horizontal="center"/>
    </xf>
    <xf numFmtId="164" fontId="60" fillId="2" borderId="0" xfId="0" applyNumberFormat="1" applyFont="1" applyFill="1" applyBorder="1" applyAlignment="1">
      <alignment horizontal="center"/>
    </xf>
    <xf numFmtId="1" fontId="57" fillId="3" borderId="0" xfId="0" applyNumberFormat="1" applyFont="1" applyFill="1" applyBorder="1" applyAlignment="1">
      <alignment horizontal="center"/>
    </xf>
    <xf numFmtId="1" fontId="57" fillId="3" borderId="1" xfId="0" applyNumberFormat="1" applyFont="1" applyFill="1" applyBorder="1" applyAlignment="1">
      <alignment horizontal="center"/>
    </xf>
    <xf numFmtId="1" fontId="57" fillId="3" borderId="1" xfId="0" applyNumberFormat="1" applyFont="1" applyFill="1" applyBorder="1" applyAlignment="1">
      <alignment horizontal="left"/>
    </xf>
    <xf numFmtId="164" fontId="60" fillId="2" borderId="1" xfId="0" applyNumberFormat="1" applyFont="1" applyFill="1" applyBorder="1" applyAlignment="1">
      <alignment horizontal="left"/>
    </xf>
    <xf numFmtId="164" fontId="60" fillId="2" borderId="1" xfId="0" applyNumberFormat="1" applyFont="1" applyFill="1" applyBorder="1" applyAlignment="1">
      <alignment horizontal="center"/>
    </xf>
    <xf numFmtId="1" fontId="63" fillId="3" borderId="1" xfId="0" applyNumberFormat="1" applyFont="1" applyFill="1" applyBorder="1" applyAlignment="1">
      <alignment horizontal="center"/>
    </xf>
    <xf numFmtId="1" fontId="57" fillId="2" borderId="1" xfId="0" applyNumberFormat="1" applyFont="1" applyFill="1" applyBorder="1" applyAlignment="1">
      <alignment horizontal="center"/>
    </xf>
    <xf numFmtId="1" fontId="57" fillId="2" borderId="1" xfId="0" applyNumberFormat="1" applyFont="1" applyFill="1" applyBorder="1" applyAlignment="1">
      <alignment horizontal="left"/>
    </xf>
    <xf numFmtId="1" fontId="63" fillId="2" borderId="1" xfId="0" applyNumberFormat="1" applyFont="1" applyFill="1" applyBorder="1" applyAlignment="1">
      <alignment horizontal="center"/>
    </xf>
    <xf numFmtId="164" fontId="63" fillId="2" borderId="1" xfId="0" applyNumberFormat="1" applyFont="1" applyFill="1" applyBorder="1" applyAlignment="1">
      <alignment horizontal="center"/>
    </xf>
    <xf numFmtId="164" fontId="6" fillId="2" borderId="1" xfId="0" applyNumberFormat="1" applyFont="1" applyFill="1" applyBorder="1" applyAlignment="1">
      <alignment horizontal="left"/>
    </xf>
    <xf numFmtId="164" fontId="57" fillId="2" borderId="1" xfId="0" applyNumberFormat="1" applyFont="1" applyFill="1" applyBorder="1" applyAlignment="1">
      <alignment horizontal="center" wrapText="1"/>
    </xf>
    <xf numFmtId="164" fontId="57" fillId="2" borderId="1" xfId="0" applyNumberFormat="1" applyFont="1" applyFill="1" applyBorder="1" applyAlignment="1">
      <alignment horizontal="left" wrapText="1"/>
    </xf>
    <xf numFmtId="164" fontId="63" fillId="2" borderId="1" xfId="0" applyNumberFormat="1" applyFont="1" applyFill="1" applyBorder="1" applyAlignment="1">
      <alignment horizontal="center" wrapText="1"/>
    </xf>
    <xf numFmtId="164" fontId="57" fillId="2" borderId="0" xfId="0" applyNumberFormat="1" applyFont="1" applyFill="1" applyBorder="1" applyAlignment="1">
      <alignment horizontal="center" wrapText="1"/>
    </xf>
    <xf numFmtId="1" fontId="63" fillId="3" borderId="1" xfId="0" applyNumberFormat="1" applyFont="1" applyFill="1" applyBorder="1" applyAlignment="1">
      <alignment horizontal="left"/>
    </xf>
    <xf numFmtId="1" fontId="63" fillId="2" borderId="1" xfId="0" applyNumberFormat="1" applyFont="1" applyFill="1" applyBorder="1" applyAlignment="1">
      <alignment horizontal="left"/>
    </xf>
    <xf numFmtId="164" fontId="63" fillId="2" borderId="1" xfId="0" applyNumberFormat="1" applyFont="1" applyFill="1" applyBorder="1" applyAlignment="1">
      <alignment horizontal="left"/>
    </xf>
    <xf numFmtId="0" fontId="19" fillId="2" borderId="1" xfId="0" applyFont="1" applyFill="1" applyBorder="1" applyAlignment="1">
      <alignment horizontal="left"/>
    </xf>
    <xf numFmtId="49" fontId="19" fillId="2" borderId="1" xfId="0" applyNumberFormat="1" applyFont="1" applyFill="1" applyBorder="1" applyAlignment="1">
      <alignment horizontal="center" wrapText="1"/>
    </xf>
    <xf numFmtId="0" fontId="19" fillId="2" borderId="0" xfId="0" applyNumberFormat="1" applyFont="1" applyFill="1" applyBorder="1" applyAlignment="1">
      <alignment horizontal="left"/>
    </xf>
    <xf numFmtId="0" fontId="19" fillId="2" borderId="0" xfId="0" applyNumberFormat="1" applyFont="1" applyFill="1" applyBorder="1"/>
    <xf numFmtId="0" fontId="19" fillId="2" borderId="0" xfId="0" applyNumberFormat="1" applyFont="1" applyFill="1" applyBorder="1" applyAlignment="1">
      <alignment horizontal="center" wrapText="1"/>
    </xf>
    <xf numFmtId="0" fontId="19" fillId="2" borderId="0" xfId="0" applyNumberFormat="1" applyFont="1" applyFill="1" applyBorder="1" applyAlignment="1">
      <alignment horizontal="center"/>
    </xf>
    <xf numFmtId="0" fontId="19" fillId="2" borderId="29" xfId="0" applyNumberFormat="1" applyFont="1" applyFill="1" applyBorder="1"/>
    <xf numFmtId="0" fontId="19" fillId="2" borderId="29" xfId="0" applyNumberFormat="1" applyFont="1" applyFill="1" applyBorder="1" applyAlignment="1">
      <alignment horizontal="center" wrapText="1"/>
    </xf>
    <xf numFmtId="0" fontId="19" fillId="2" borderId="29" xfId="0" applyNumberFormat="1" applyFont="1" applyFill="1" applyBorder="1" applyAlignment="1">
      <alignment horizontal="center"/>
    </xf>
    <xf numFmtId="0" fontId="19" fillId="2" borderId="29" xfId="0" applyNumberFormat="1" applyFont="1" applyFill="1" applyBorder="1" applyAlignment="1">
      <alignment horizontal="left"/>
    </xf>
    <xf numFmtId="0" fontId="23" fillId="2" borderId="1" xfId="0" applyFont="1" applyFill="1" applyBorder="1" applyAlignment="1">
      <alignment horizontal="left"/>
    </xf>
    <xf numFmtId="0" fontId="23" fillId="2" borderId="1" xfId="0" applyFont="1" applyFill="1" applyBorder="1"/>
    <xf numFmtId="49" fontId="23" fillId="2" borderId="1" xfId="0" applyNumberFormat="1" applyFont="1" applyFill="1" applyBorder="1" applyAlignment="1">
      <alignment horizontal="center" wrapText="1"/>
    </xf>
    <xf numFmtId="49" fontId="23" fillId="2" borderId="1" xfId="0" applyNumberFormat="1" applyFont="1" applyFill="1" applyBorder="1" applyAlignment="1">
      <alignment horizontal="center" textRotation="90" wrapText="1"/>
    </xf>
    <xf numFmtId="1" fontId="23" fillId="2" borderId="1" xfId="0" applyNumberFormat="1" applyFont="1" applyFill="1" applyBorder="1" applyAlignment="1">
      <alignment horizontal="center" textRotation="90" wrapText="1"/>
    </xf>
    <xf numFmtId="0" fontId="23" fillId="2" borderId="1" xfId="0" applyFont="1" applyFill="1" applyBorder="1" applyAlignment="1">
      <alignment horizontal="center" textRotation="90"/>
    </xf>
    <xf numFmtId="0" fontId="23" fillId="2" borderId="0" xfId="0" applyFont="1" applyFill="1" applyBorder="1"/>
    <xf numFmtId="0" fontId="35" fillId="2" borderId="1" xfId="0" applyFont="1" applyFill="1" applyBorder="1" applyAlignment="1">
      <alignment horizontal="left"/>
    </xf>
    <xf numFmtId="0" fontId="35" fillId="2" borderId="1" xfId="0" applyFont="1" applyFill="1" applyBorder="1"/>
    <xf numFmtId="49" fontId="35" fillId="2" borderId="1" xfId="0" applyNumberFormat="1" applyFont="1" applyFill="1" applyBorder="1" applyAlignment="1">
      <alignment horizontal="center" wrapText="1"/>
    </xf>
    <xf numFmtId="1" fontId="35" fillId="2" borderId="1" xfId="0" applyNumberFormat="1" applyFont="1" applyFill="1" applyBorder="1" applyAlignment="1">
      <alignment horizontal="center" wrapText="1"/>
    </xf>
    <xf numFmtId="0" fontId="35" fillId="2" borderId="1" xfId="0" applyFont="1" applyFill="1" applyBorder="1" applyAlignment="1">
      <alignment horizontal="center"/>
    </xf>
    <xf numFmtId="0" fontId="35" fillId="2" borderId="0" xfId="0" applyFont="1" applyFill="1" applyBorder="1"/>
    <xf numFmtId="0" fontId="35" fillId="2" borderId="0" xfId="0" applyFont="1" applyFill="1" applyBorder="1" applyAlignment="1">
      <alignment horizontal="left"/>
    </xf>
    <xf numFmtId="49" fontId="35" fillId="2" borderId="0" xfId="0" applyNumberFormat="1" applyFont="1" applyFill="1" applyBorder="1" applyAlignment="1">
      <alignment horizontal="center" wrapText="1"/>
    </xf>
    <xf numFmtId="1" fontId="35" fillId="2" borderId="0" xfId="0" applyNumberFormat="1" applyFont="1" applyFill="1" applyBorder="1" applyAlignment="1">
      <alignment horizontal="center" wrapText="1"/>
    </xf>
    <xf numFmtId="0" fontId="35" fillId="2" borderId="0" xfId="0" applyFont="1" applyFill="1" applyBorder="1" applyAlignment="1">
      <alignment horizontal="center"/>
    </xf>
    <xf numFmtId="0" fontId="19" fillId="2" borderId="0" xfId="6" applyFont="1" applyFill="1" applyAlignment="1"/>
    <xf numFmtId="1" fontId="19" fillId="2" borderId="0" xfId="6" applyNumberFormat="1" applyFont="1" applyFill="1" applyAlignment="1"/>
    <xf numFmtId="0" fontId="10" fillId="2" borderId="0" xfId="2" applyFont="1" applyFill="1" applyAlignment="1">
      <alignment horizontal="left" vertical="center" wrapText="1"/>
    </xf>
    <xf numFmtId="0" fontId="5" fillId="0" borderId="0" xfId="1" applyFont="1" applyFill="1" applyAlignment="1" applyProtection="1">
      <alignment horizontal="left" vertical="center" wrapText="1"/>
    </xf>
    <xf numFmtId="0" fontId="50" fillId="2" borderId="0" xfId="6" applyFont="1" applyFill="1" applyBorder="1" applyAlignment="1"/>
    <xf numFmtId="0" fontId="25" fillId="2" borderId="0" xfId="6" applyFont="1" applyFill="1" applyBorder="1" applyAlignment="1"/>
    <xf numFmtId="0" fontId="10" fillId="2" borderId="0" xfId="2" applyFont="1" applyFill="1" applyAlignment="1">
      <alignment vertical="center"/>
    </xf>
    <xf numFmtId="0" fontId="19" fillId="3" borderId="0" xfId="2" applyFont="1" applyFill="1" applyAlignment="1">
      <alignment vertical="center" wrapText="1"/>
    </xf>
    <xf numFmtId="1" fontId="19" fillId="3" borderId="0" xfId="2" applyNumberFormat="1" applyFont="1" applyFill="1" applyAlignment="1">
      <alignment vertical="center" wrapText="1"/>
    </xf>
    <xf numFmtId="0" fontId="30" fillId="2" borderId="0" xfId="2" applyFont="1" applyFill="1" applyAlignment="1">
      <alignment vertical="center" wrapText="1"/>
    </xf>
    <xf numFmtId="0" fontId="29" fillId="2" borderId="0" xfId="2" applyFont="1" applyFill="1" applyAlignment="1">
      <alignment vertical="center" wrapText="1"/>
    </xf>
    <xf numFmtId="4" fontId="10" fillId="2" borderId="0" xfId="2" applyNumberFormat="1" applyFont="1" applyFill="1" applyAlignment="1">
      <alignment vertical="center" wrapText="1"/>
    </xf>
    <xf numFmtId="0" fontId="19" fillId="0" borderId="0" xfId="2" applyFont="1" applyFill="1" applyAlignment="1">
      <alignment horizontal="center" vertical="center" wrapText="1"/>
    </xf>
    <xf numFmtId="1" fontId="19" fillId="0" borderId="1" xfId="2"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Fill="1" applyBorder="1" applyAlignment="1">
      <alignment vertical="center" wrapText="1"/>
    </xf>
    <xf numFmtId="0" fontId="58" fillId="0" borderId="0" xfId="5" applyFont="1" applyFill="1" applyAlignment="1" applyProtection="1">
      <alignment vertical="center"/>
    </xf>
    <xf numFmtId="0" fontId="6" fillId="0" borderId="0" xfId="2" applyFont="1" applyFill="1" applyBorder="1" applyAlignment="1">
      <alignment horizontal="center" vertical="center"/>
    </xf>
    <xf numFmtId="0" fontId="58" fillId="0" borderId="0" xfId="6" applyFont="1" applyFill="1" applyBorder="1"/>
    <xf numFmtId="0" fontId="6" fillId="0" borderId="0" xfId="6" applyFont="1" applyFill="1" applyBorder="1"/>
    <xf numFmtId="164" fontId="59" fillId="0" borderId="0" xfId="0" applyNumberFormat="1" applyFont="1" applyFill="1" applyBorder="1" applyAlignment="1">
      <alignment horizontal="center"/>
    </xf>
    <xf numFmtId="1" fontId="57" fillId="0" borderId="1" xfId="0" applyNumberFormat="1" applyFont="1" applyFill="1" applyBorder="1" applyAlignment="1">
      <alignment horizontal="center"/>
    </xf>
    <xf numFmtId="164" fontId="57" fillId="0" borderId="1" xfId="0" applyNumberFormat="1" applyFont="1" applyFill="1" applyBorder="1" applyAlignment="1">
      <alignment horizontal="center"/>
    </xf>
    <xf numFmtId="164" fontId="57" fillId="0" borderId="1" xfId="0" applyNumberFormat="1" applyFont="1" applyFill="1" applyBorder="1" applyAlignment="1">
      <alignment horizontal="center" wrapText="1"/>
    </xf>
    <xf numFmtId="164" fontId="59" fillId="0" borderId="1" xfId="0" applyNumberFormat="1" applyFont="1" applyFill="1" applyBorder="1" applyAlignment="1">
      <alignment horizontal="center"/>
    </xf>
    <xf numFmtId="164" fontId="62" fillId="0" borderId="0" xfId="0" applyNumberFormat="1" applyFont="1" applyFill="1" applyBorder="1"/>
    <xf numFmtId="164" fontId="59" fillId="0" borderId="0" xfId="0" applyNumberFormat="1" applyFont="1" applyFill="1" applyBorder="1"/>
    <xf numFmtId="164" fontId="60" fillId="0" borderId="0" xfId="0" applyNumberFormat="1" applyFont="1" applyFill="1" applyBorder="1" applyAlignment="1">
      <alignment horizontal="center"/>
    </xf>
    <xf numFmtId="0" fontId="6" fillId="0" borderId="0" xfId="2" applyFont="1" applyFill="1" applyBorder="1" applyAlignment="1">
      <alignment horizontal="left" vertical="center" wrapText="1"/>
    </xf>
    <xf numFmtId="1" fontId="6" fillId="0" borderId="0" xfId="2" applyNumberFormat="1" applyFont="1" applyFill="1" applyBorder="1" applyAlignment="1">
      <alignment horizontal="left" vertical="center" wrapText="1"/>
    </xf>
    <xf numFmtId="0" fontId="64" fillId="0" borderId="0" xfId="6" applyFont="1" applyFill="1" applyBorder="1" applyAlignment="1">
      <alignment horizontal="left" wrapText="1"/>
    </xf>
    <xf numFmtId="1" fontId="64" fillId="0" borderId="0" xfId="6" applyNumberFormat="1" applyFont="1" applyFill="1" applyBorder="1" applyAlignment="1">
      <alignment horizontal="left" wrapText="1"/>
    </xf>
    <xf numFmtId="0" fontId="65" fillId="0" borderId="0" xfId="6" applyFont="1" applyFill="1" applyBorder="1" applyAlignment="1">
      <alignment horizontal="left" wrapText="1"/>
    </xf>
    <xf numFmtId="1" fontId="65" fillId="0" borderId="0" xfId="6" applyNumberFormat="1" applyFont="1" applyFill="1" applyBorder="1" applyAlignment="1">
      <alignment horizontal="left" wrapText="1"/>
    </xf>
    <xf numFmtId="1" fontId="65" fillId="0" borderId="0" xfId="6" applyNumberFormat="1" applyFont="1" applyFill="1" applyBorder="1" applyAlignment="1">
      <alignment horizontal="center" wrapText="1"/>
    </xf>
    <xf numFmtId="0" fontId="8" fillId="0" borderId="0" xfId="1" applyFont="1" applyFill="1" applyAlignment="1" applyProtection="1">
      <alignment horizontal="center" vertical="center"/>
    </xf>
    <xf numFmtId="165" fontId="8" fillId="0" borderId="0" xfId="1" applyNumberFormat="1" applyFont="1" applyFill="1" applyAlignment="1" applyProtection="1">
      <alignment horizontal="center" vertical="center"/>
    </xf>
    <xf numFmtId="0" fontId="8" fillId="0" borderId="0" xfId="1" applyFont="1" applyFill="1" applyAlignment="1" applyProtection="1">
      <alignment horizontal="left" vertical="center"/>
    </xf>
    <xf numFmtId="165" fontId="45" fillId="0" borderId="0" xfId="1" applyNumberFormat="1" applyFont="1" applyFill="1" applyBorder="1" applyAlignment="1" applyProtection="1">
      <alignment horizontal="center" vertical="center" wrapText="1"/>
    </xf>
    <xf numFmtId="3" fontId="45" fillId="0" borderId="0" xfId="1" applyNumberFormat="1" applyFont="1" applyFill="1" applyBorder="1" applyAlignment="1" applyProtection="1">
      <alignment horizontal="center" vertical="center"/>
    </xf>
    <xf numFmtId="165" fontId="5" fillId="0" borderId="0" xfId="1"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right" vertical="center" wrapText="1"/>
    </xf>
    <xf numFmtId="49" fontId="9" fillId="0" borderId="22" xfId="1" applyNumberFormat="1" applyFont="1" applyFill="1" applyBorder="1" applyAlignment="1" applyProtection="1">
      <alignment horizontal="center" vertical="center" wrapText="1"/>
    </xf>
    <xf numFmtId="0" fontId="9" fillId="0" borderId="21" xfId="1" applyFont="1" applyFill="1" applyBorder="1" applyAlignment="1" applyProtection="1">
      <alignment horizontal="left" vertical="center" wrapText="1"/>
    </xf>
    <xf numFmtId="165" fontId="9" fillId="0" borderId="21" xfId="1" applyNumberFormat="1" applyFont="1" applyFill="1" applyBorder="1" applyAlignment="1" applyProtection="1">
      <alignment horizontal="right" vertical="center" wrapText="1"/>
    </xf>
    <xf numFmtId="165" fontId="9" fillId="0" borderId="21" xfId="1" applyNumberFormat="1" applyFont="1" applyFill="1" applyBorder="1" applyAlignment="1" applyProtection="1">
      <alignment horizontal="center" vertical="center" wrapText="1"/>
    </xf>
    <xf numFmtId="165" fontId="9" fillId="0" borderId="11" xfId="1" applyNumberFormat="1" applyFont="1" applyFill="1" applyBorder="1" applyAlignment="1" applyProtection="1">
      <alignment horizontal="center" vertical="center" wrapText="1"/>
    </xf>
    <xf numFmtId="49" fontId="9" fillId="0" borderId="32" xfId="1" applyNumberFormat="1" applyFont="1" applyFill="1" applyBorder="1" applyAlignment="1" applyProtection="1">
      <alignment horizontal="center" vertical="center" wrapText="1"/>
    </xf>
    <xf numFmtId="165" fontId="9" fillId="0" borderId="31" xfId="1" applyNumberFormat="1" applyFont="1" applyFill="1" applyBorder="1" applyAlignment="1" applyProtection="1">
      <alignment horizontal="right" vertical="center" wrapText="1"/>
    </xf>
    <xf numFmtId="165" fontId="9" fillId="0" borderId="31" xfId="1" applyNumberFormat="1" applyFont="1" applyFill="1" applyBorder="1" applyAlignment="1" applyProtection="1">
      <alignment horizontal="center" vertical="center" wrapText="1"/>
    </xf>
    <xf numFmtId="165" fontId="9" fillId="0" borderId="33" xfId="1" applyNumberFormat="1" applyFont="1" applyFill="1" applyBorder="1" applyAlignment="1" applyProtection="1">
      <alignment horizontal="center" vertical="center" wrapText="1"/>
    </xf>
    <xf numFmtId="49" fontId="9" fillId="0" borderId="20" xfId="1" applyNumberFormat="1" applyFont="1" applyFill="1" applyBorder="1" applyAlignment="1" applyProtection="1">
      <alignment horizontal="center" vertical="center" wrapText="1"/>
    </xf>
    <xf numFmtId="0" fontId="9" fillId="0" borderId="19" xfId="1" applyFont="1" applyFill="1" applyBorder="1" applyAlignment="1" applyProtection="1">
      <alignment horizontal="left" vertical="center" wrapText="1"/>
    </xf>
    <xf numFmtId="165" fontId="9" fillId="0" borderId="19" xfId="1" applyNumberFormat="1" applyFont="1" applyFill="1" applyBorder="1" applyAlignment="1" applyProtection="1">
      <alignment horizontal="right" vertical="center" wrapText="1"/>
    </xf>
    <xf numFmtId="165" fontId="9" fillId="0" borderId="19" xfId="1" applyNumberFormat="1" applyFont="1" applyFill="1" applyBorder="1" applyAlignment="1" applyProtection="1">
      <alignment horizontal="center" vertical="center" wrapText="1"/>
    </xf>
    <xf numFmtId="165" fontId="9" fillId="0" borderId="18" xfId="1" applyNumberFormat="1" applyFont="1" applyFill="1" applyBorder="1" applyAlignment="1" applyProtection="1">
      <alignment horizontal="center" vertical="center" wrapText="1"/>
    </xf>
    <xf numFmtId="0" fontId="66" fillId="2" borderId="0" xfId="6" applyFont="1" applyFill="1" applyAlignment="1">
      <alignment wrapText="1"/>
    </xf>
    <xf numFmtId="1" fontId="67" fillId="2" borderId="1" xfId="2" applyNumberFormat="1" applyFont="1" applyFill="1" applyBorder="1" applyAlignment="1">
      <alignment horizontal="center" vertical="center" wrapText="1"/>
    </xf>
    <xf numFmtId="0" fontId="67" fillId="2" borderId="1" xfId="6" applyFont="1" applyFill="1" applyBorder="1" applyAlignment="1">
      <alignment horizontal="center" vertical="center" wrapText="1"/>
    </xf>
    <xf numFmtId="0" fontId="67" fillId="2" borderId="1" xfId="6" applyFont="1" applyFill="1" applyBorder="1" applyAlignment="1">
      <alignment vertical="center" wrapText="1"/>
    </xf>
    <xf numFmtId="164" fontId="67" fillId="2" borderId="1" xfId="6" applyNumberFormat="1" applyFont="1" applyFill="1" applyBorder="1" applyAlignment="1">
      <alignment horizontal="center" vertical="center" wrapText="1"/>
    </xf>
    <xf numFmtId="4" fontId="67" fillId="2" borderId="1" xfId="6" applyNumberFormat="1" applyFont="1" applyFill="1" applyBorder="1" applyAlignment="1">
      <alignment horizontal="center" vertical="center" wrapText="1"/>
    </xf>
    <xf numFmtId="0" fontId="67" fillId="2" borderId="0" xfId="2" applyFont="1" applyFill="1" applyAlignment="1">
      <alignment horizontal="center" vertical="center" wrapText="1"/>
    </xf>
    <xf numFmtId="0" fontId="67" fillId="2" borderId="1" xfId="6" applyFont="1" applyFill="1" applyBorder="1" applyAlignment="1">
      <alignment wrapText="1"/>
    </xf>
    <xf numFmtId="0" fontId="67" fillId="2" borderId="0" xfId="6" applyFont="1" applyFill="1" applyAlignment="1">
      <alignment horizontal="center" wrapText="1"/>
    </xf>
    <xf numFmtId="0" fontId="10" fillId="2" borderId="0" xfId="2" applyFont="1" applyFill="1" applyAlignment="1">
      <alignment horizontal="left" vertical="center"/>
    </xf>
    <xf numFmtId="164" fontId="10" fillId="2" borderId="0" xfId="2" applyNumberFormat="1" applyFont="1" applyFill="1" applyAlignment="1">
      <alignment horizontal="left" vertical="center"/>
    </xf>
    <xf numFmtId="1" fontId="10" fillId="2" borderId="0" xfId="2" applyNumberFormat="1" applyFont="1" applyFill="1" applyAlignment="1">
      <alignment horizontal="left" vertical="center" wrapText="1"/>
    </xf>
    <xf numFmtId="0" fontId="50" fillId="2" borderId="0" xfId="0" applyFont="1" applyFill="1" applyAlignment="1">
      <alignment horizontal="left" vertical="center"/>
    </xf>
    <xf numFmtId="0" fontId="50" fillId="2" borderId="0" xfId="0" applyFont="1" applyFill="1" applyAlignment="1">
      <alignment horizontal="left" wrapText="1"/>
    </xf>
    <xf numFmtId="49" fontId="50" fillId="2" borderId="0" xfId="0" applyNumberFormat="1" applyFont="1" applyFill="1" applyAlignment="1">
      <alignment horizontal="left" vertical="center" wrapText="1"/>
    </xf>
    <xf numFmtId="164" fontId="50" fillId="2" borderId="0" xfId="6" applyNumberFormat="1" applyFont="1" applyFill="1" applyAlignment="1">
      <alignment horizontal="left" vertical="center"/>
    </xf>
    <xf numFmtId="1" fontId="50" fillId="2" borderId="0" xfId="6" applyNumberFormat="1" applyFont="1" applyFill="1" applyAlignment="1">
      <alignment horizontal="left" vertical="center" wrapText="1"/>
    </xf>
    <xf numFmtId="0" fontId="50" fillId="2" borderId="0" xfId="6" applyFont="1" applyFill="1" applyAlignment="1">
      <alignment horizontal="left" vertical="center"/>
    </xf>
    <xf numFmtId="0" fontId="50" fillId="2" borderId="0" xfId="6" applyFont="1" applyFill="1" applyAlignment="1">
      <alignment horizontal="left"/>
    </xf>
    <xf numFmtId="0" fontId="25" fillId="2" borderId="0" xfId="0" applyFont="1" applyFill="1" applyAlignment="1">
      <alignment horizontal="left" vertical="center"/>
    </xf>
    <xf numFmtId="0" fontId="25" fillId="2" borderId="0" xfId="0" applyFont="1" applyFill="1" applyAlignment="1">
      <alignment horizontal="left" wrapText="1"/>
    </xf>
    <xf numFmtId="49" fontId="25" fillId="2" borderId="0" xfId="0" applyNumberFormat="1" applyFont="1" applyFill="1" applyAlignment="1">
      <alignment horizontal="left" vertical="center" wrapText="1"/>
    </xf>
    <xf numFmtId="164" fontId="25" fillId="2" borderId="0" xfId="6" applyNumberFormat="1" applyFont="1" applyFill="1" applyAlignment="1">
      <alignment horizontal="left" vertical="center"/>
    </xf>
    <xf numFmtId="1" fontId="25" fillId="2" borderId="0" xfId="6" applyNumberFormat="1" applyFont="1" applyFill="1" applyAlignment="1">
      <alignment horizontal="left" vertical="center" wrapText="1"/>
    </xf>
    <xf numFmtId="0" fontId="25" fillId="2" borderId="0" xfId="6" applyFont="1" applyFill="1" applyAlignment="1">
      <alignment horizontal="left" vertical="center"/>
    </xf>
    <xf numFmtId="0" fontId="25" fillId="2" borderId="0" xfId="6" applyFont="1" applyFill="1" applyAlignment="1">
      <alignment horizontal="left"/>
    </xf>
    <xf numFmtId="49" fontId="25" fillId="2" borderId="0" xfId="0" applyNumberFormat="1" applyFont="1" applyFill="1" applyAlignment="1">
      <alignment horizontal="left" vertical="center"/>
    </xf>
    <xf numFmtId="1" fontId="28" fillId="2" borderId="0" xfId="2" applyNumberFormat="1" applyFont="1" applyFill="1" applyAlignment="1">
      <alignment horizontal="left" vertical="center"/>
    </xf>
    <xf numFmtId="164" fontId="28" fillId="2" borderId="0" xfId="2" applyNumberFormat="1" applyFont="1" applyFill="1" applyAlignment="1">
      <alignment horizontal="left" vertical="center"/>
    </xf>
    <xf numFmtId="1" fontId="19" fillId="2" borderId="1" xfId="2" applyNumberFormat="1" applyFont="1" applyFill="1" applyBorder="1" applyAlignment="1">
      <alignment horizontal="left" vertical="center"/>
    </xf>
    <xf numFmtId="0" fontId="6" fillId="2" borderId="1" xfId="6" applyFont="1" applyFill="1" applyBorder="1" applyAlignment="1">
      <alignment horizontal="left" vertical="center"/>
    </xf>
    <xf numFmtId="164" fontId="19" fillId="2" borderId="1" xfId="2" applyNumberFormat="1" applyFont="1" applyFill="1" applyBorder="1" applyAlignment="1">
      <alignment horizontal="left" vertical="center"/>
    </xf>
    <xf numFmtId="1" fontId="19" fillId="2" borderId="0" xfId="2" applyNumberFormat="1" applyFont="1" applyFill="1" applyAlignment="1">
      <alignment horizontal="left" vertical="center"/>
    </xf>
    <xf numFmtId="164" fontId="65" fillId="2" borderId="1" xfId="6" applyNumberFormat="1" applyFont="1" applyFill="1" applyBorder="1" applyAlignment="1">
      <alignment horizontal="center" vertical="center" wrapText="1"/>
    </xf>
    <xf numFmtId="2" fontId="65" fillId="2" borderId="1" xfId="6" applyNumberFormat="1" applyFont="1" applyFill="1" applyBorder="1" applyAlignment="1">
      <alignment horizontal="center" vertical="center" wrapText="1"/>
    </xf>
    <xf numFmtId="1" fontId="65" fillId="2" borderId="1" xfId="6" applyNumberFormat="1" applyFont="1" applyFill="1" applyBorder="1" applyAlignment="1">
      <alignment horizontal="center" vertical="center" wrapText="1"/>
    </xf>
    <xf numFmtId="1" fontId="28" fillId="2" borderId="1" xfId="2" applyNumberFormat="1" applyFont="1" applyFill="1" applyBorder="1" applyAlignment="1">
      <alignment horizontal="left" vertical="center"/>
    </xf>
    <xf numFmtId="164" fontId="65" fillId="2" borderId="1" xfId="6" applyNumberFormat="1" applyFont="1" applyFill="1" applyBorder="1" applyAlignment="1">
      <alignment horizontal="left" vertical="center"/>
    </xf>
    <xf numFmtId="2" fontId="65" fillId="2" borderId="1" xfId="6" applyNumberFormat="1" applyFont="1" applyFill="1" applyBorder="1" applyAlignment="1">
      <alignment horizontal="left" vertical="center"/>
    </xf>
    <xf numFmtId="1" fontId="65" fillId="2" borderId="1" xfId="6" applyNumberFormat="1" applyFont="1" applyFill="1" applyBorder="1" applyAlignment="1">
      <alignment horizontal="left" vertical="center"/>
    </xf>
    <xf numFmtId="0" fontId="22" fillId="2" borderId="0" xfId="6" applyFont="1" applyFill="1" applyAlignment="1">
      <alignment horizontal="left" vertical="center"/>
    </xf>
    <xf numFmtId="0" fontId="22" fillId="2" borderId="0" xfId="6" applyFont="1" applyFill="1" applyAlignment="1">
      <alignment horizontal="left"/>
    </xf>
    <xf numFmtId="1" fontId="28" fillId="2" borderId="1" xfId="2" applyNumberFormat="1" applyFont="1" applyFill="1" applyBorder="1" applyAlignment="1">
      <alignment horizontal="center" vertical="center" wrapText="1"/>
    </xf>
    <xf numFmtId="167" fontId="40" fillId="2" borderId="0" xfId="2" applyNumberFormat="1" applyFont="1" applyFill="1" applyAlignment="1">
      <alignment horizontal="center" vertical="center"/>
    </xf>
    <xf numFmtId="164" fontId="40" fillId="2" borderId="0" xfId="2" applyNumberFormat="1" applyFont="1" applyFill="1" applyAlignment="1">
      <alignment horizontal="center" vertical="center"/>
    </xf>
    <xf numFmtId="4" fontId="40" fillId="2" borderId="0" xfId="2" applyNumberFormat="1" applyFont="1" applyFill="1" applyAlignment="1">
      <alignment horizontal="center" vertical="center"/>
    </xf>
    <xf numFmtId="1" fontId="40" fillId="2" borderId="0" xfId="2" applyNumberFormat="1" applyFont="1" applyFill="1" applyAlignment="1">
      <alignment horizontal="center" vertical="center"/>
    </xf>
    <xf numFmtId="2" fontId="22" fillId="2" borderId="0" xfId="6" applyNumberFormat="1" applyFont="1" applyFill="1" applyAlignment="1">
      <alignment wrapText="1"/>
    </xf>
    <xf numFmtId="0" fontId="19" fillId="2" borderId="34" xfId="2" applyFont="1" applyFill="1" applyBorder="1" applyAlignment="1">
      <alignment horizontal="center" vertical="center" wrapText="1"/>
    </xf>
    <xf numFmtId="0" fontId="14" fillId="0" borderId="0" xfId="5" applyFont="1" applyFill="1" applyAlignment="1" applyProtection="1">
      <alignment horizontal="center" vertical="center"/>
    </xf>
    <xf numFmtId="0" fontId="14" fillId="0" borderId="0" xfId="5" applyFont="1" applyFill="1" applyAlignment="1" applyProtection="1">
      <alignment vertical="center"/>
    </xf>
    <xf numFmtId="0" fontId="10" fillId="0" borderId="0" xfId="2" applyFont="1" applyFill="1" applyAlignment="1">
      <alignment horizontal="left" vertical="center"/>
    </xf>
    <xf numFmtId="0" fontId="10" fillId="0" borderId="0" xfId="2" applyFont="1" applyFill="1" applyAlignment="1">
      <alignment horizontal="left" vertical="center" wrapText="1"/>
    </xf>
    <xf numFmtId="164" fontId="10" fillId="0" borderId="0" xfId="2" applyNumberFormat="1" applyFont="1" applyFill="1" applyAlignment="1">
      <alignment horizontal="left" vertical="center"/>
    </xf>
    <xf numFmtId="1" fontId="10" fillId="0" borderId="0" xfId="2" applyNumberFormat="1" applyFont="1" applyFill="1" applyAlignment="1">
      <alignment horizontal="left" vertical="center" wrapText="1"/>
    </xf>
    <xf numFmtId="0" fontId="50" fillId="0" borderId="0" xfId="0" applyFont="1" applyFill="1" applyAlignment="1">
      <alignment horizontal="left" vertical="center"/>
    </xf>
    <xf numFmtId="0" fontId="50" fillId="0" borderId="0" xfId="0" applyFont="1" applyFill="1" applyAlignment="1">
      <alignment horizontal="left" wrapText="1"/>
    </xf>
    <xf numFmtId="49" fontId="50" fillId="0" borderId="0" xfId="0" applyNumberFormat="1" applyFont="1" applyFill="1" applyAlignment="1">
      <alignment horizontal="left" vertical="center" wrapText="1"/>
    </xf>
    <xf numFmtId="164" fontId="50" fillId="0" borderId="0" xfId="6" applyNumberFormat="1" applyFont="1" applyFill="1" applyAlignment="1">
      <alignment horizontal="left" vertical="center"/>
    </xf>
    <xf numFmtId="1" fontId="50" fillId="0" borderId="0" xfId="6" applyNumberFormat="1" applyFont="1" applyFill="1" applyAlignment="1">
      <alignment horizontal="left" vertical="center" wrapText="1"/>
    </xf>
    <xf numFmtId="0" fontId="50" fillId="0" borderId="0" xfId="6" applyFont="1" applyFill="1" applyAlignment="1">
      <alignment horizontal="left" vertical="center"/>
    </xf>
    <xf numFmtId="0" fontId="50" fillId="0" borderId="0" xfId="6" applyFont="1" applyFill="1" applyAlignment="1">
      <alignment horizontal="left"/>
    </xf>
    <xf numFmtId="0" fontId="25" fillId="0" borderId="0" xfId="0" applyFont="1" applyFill="1" applyAlignment="1">
      <alignment horizontal="left" vertical="center"/>
    </xf>
    <xf numFmtId="0" fontId="25" fillId="0" borderId="0" xfId="0" applyFont="1" applyFill="1" applyAlignment="1">
      <alignment horizontal="left" wrapText="1"/>
    </xf>
    <xf numFmtId="49" fontId="25" fillId="0" borderId="0" xfId="0" applyNumberFormat="1" applyFont="1" applyFill="1" applyAlignment="1">
      <alignment horizontal="left" vertical="center" wrapText="1"/>
    </xf>
    <xf numFmtId="164" fontId="25" fillId="0" borderId="0" xfId="6" applyNumberFormat="1" applyFont="1" applyFill="1" applyAlignment="1">
      <alignment horizontal="left" vertical="center"/>
    </xf>
    <xf numFmtId="1" fontId="25" fillId="0" borderId="0" xfId="6" applyNumberFormat="1" applyFont="1" applyFill="1" applyAlignment="1">
      <alignment horizontal="left" vertical="center" wrapText="1"/>
    </xf>
    <xf numFmtId="0" fontId="25" fillId="0" borderId="0" xfId="6" applyFont="1" applyFill="1" applyAlignment="1">
      <alignment horizontal="left" vertical="center"/>
    </xf>
    <xf numFmtId="0" fontId="25" fillId="0" borderId="0" xfId="6" applyFont="1" applyFill="1" applyAlignment="1">
      <alignment horizontal="left"/>
    </xf>
    <xf numFmtId="49" fontId="25" fillId="0" borderId="0" xfId="0" applyNumberFormat="1" applyFont="1" applyFill="1" applyAlignment="1">
      <alignment horizontal="left" vertical="center"/>
    </xf>
    <xf numFmtId="0" fontId="6" fillId="0" borderId="0" xfId="2" applyFont="1" applyFill="1" applyAlignment="1">
      <alignment horizontal="center" vertical="center"/>
    </xf>
    <xf numFmtId="0" fontId="6" fillId="0" borderId="0" xfId="2" applyFont="1" applyFill="1" applyAlignment="1">
      <alignment vertical="center" wrapText="1"/>
    </xf>
    <xf numFmtId="164" fontId="6" fillId="0" borderId="0" xfId="2" applyNumberFormat="1" applyFont="1" applyFill="1" applyAlignment="1">
      <alignment horizontal="center" vertical="center"/>
    </xf>
    <xf numFmtId="4" fontId="6" fillId="0" borderId="0" xfId="2" applyNumberFormat="1" applyFont="1" applyFill="1" applyAlignment="1">
      <alignment horizontal="center" vertical="center"/>
    </xf>
    <xf numFmtId="1" fontId="21" fillId="0" borderId="0" xfId="2" applyNumberFormat="1" applyFont="1" applyFill="1" applyAlignment="1">
      <alignment horizontal="center" vertical="center"/>
    </xf>
    <xf numFmtId="0" fontId="10" fillId="0" borderId="0" xfId="2" applyFont="1" applyFill="1" applyAlignment="1">
      <alignment horizontal="center" vertical="center"/>
    </xf>
    <xf numFmtId="0" fontId="19" fillId="0" borderId="25" xfId="2" applyFont="1" applyFill="1" applyBorder="1" applyAlignment="1">
      <alignment horizontal="center" vertical="center" wrapText="1"/>
    </xf>
    <xf numFmtId="0" fontId="19" fillId="0" borderId="25" xfId="2" applyFont="1" applyFill="1" applyBorder="1" applyAlignment="1">
      <alignment vertical="center" wrapText="1"/>
    </xf>
    <xf numFmtId="164" fontId="19" fillId="0" borderId="25" xfId="2" applyNumberFormat="1" applyFont="1" applyFill="1" applyBorder="1" applyAlignment="1">
      <alignment horizontal="center" vertical="center" wrapText="1"/>
    </xf>
    <xf numFmtId="4" fontId="19" fillId="0" borderId="25" xfId="2" applyNumberFormat="1" applyFont="1" applyFill="1" applyBorder="1" applyAlignment="1">
      <alignment horizontal="center" vertical="center" wrapText="1"/>
    </xf>
    <xf numFmtId="1" fontId="19" fillId="0" borderId="25" xfId="2" applyNumberFormat="1" applyFont="1" applyFill="1" applyBorder="1" applyAlignment="1">
      <alignment horizontal="center" vertical="center" wrapText="1"/>
    </xf>
    <xf numFmtId="1" fontId="19" fillId="0" borderId="25" xfId="2" applyNumberFormat="1" applyFont="1" applyFill="1" applyBorder="1" applyAlignment="1">
      <alignment vertical="center" wrapText="1"/>
    </xf>
    <xf numFmtId="1" fontId="19" fillId="0" borderId="0" xfId="2" applyNumberFormat="1" applyFont="1" applyFill="1" applyAlignment="1">
      <alignment horizontal="center" vertical="center" wrapText="1"/>
    </xf>
    <xf numFmtId="1" fontId="28" fillId="0" borderId="0" xfId="2" applyNumberFormat="1" applyFont="1" applyFill="1" applyAlignment="1">
      <alignment horizontal="left" vertical="center"/>
    </xf>
    <xf numFmtId="164" fontId="28" fillId="0" borderId="0" xfId="2" applyNumberFormat="1" applyFont="1" applyFill="1" applyAlignment="1">
      <alignment horizontal="left" vertical="center"/>
    </xf>
    <xf numFmtId="1" fontId="28" fillId="0" borderId="1" xfId="2" applyNumberFormat="1" applyFont="1" applyFill="1" applyBorder="1" applyAlignment="1">
      <alignment horizontal="left" vertical="center" wrapText="1"/>
    </xf>
    <xf numFmtId="1" fontId="28" fillId="0" borderId="1" xfId="2" applyNumberFormat="1" applyFont="1" applyFill="1" applyBorder="1" applyAlignment="1">
      <alignment horizontal="center" vertical="center" wrapText="1"/>
    </xf>
    <xf numFmtId="164" fontId="28" fillId="0" borderId="1" xfId="2" applyNumberFormat="1" applyFont="1" applyFill="1" applyBorder="1" applyAlignment="1">
      <alignment horizontal="left" vertical="center" wrapText="1"/>
    </xf>
    <xf numFmtId="1" fontId="28" fillId="0" borderId="0" xfId="2" applyNumberFormat="1" applyFont="1" applyFill="1" applyAlignment="1">
      <alignment horizontal="left" vertical="center" wrapText="1"/>
    </xf>
    <xf numFmtId="164" fontId="65" fillId="0" borderId="1" xfId="6" applyNumberFormat="1" applyFont="1" applyFill="1" applyBorder="1" applyAlignment="1">
      <alignment horizontal="center" vertical="center" wrapText="1"/>
    </xf>
    <xf numFmtId="2" fontId="65" fillId="0" borderId="1" xfId="6" applyNumberFormat="1" applyFont="1" applyFill="1" applyBorder="1" applyAlignment="1">
      <alignment horizontal="center" vertical="center" wrapText="1"/>
    </xf>
    <xf numFmtId="1" fontId="65" fillId="0" borderId="1" xfId="6" applyNumberFormat="1" applyFont="1" applyFill="1" applyBorder="1" applyAlignment="1">
      <alignment horizontal="center" vertical="center" wrapText="1"/>
    </xf>
    <xf numFmtId="0" fontId="22" fillId="0" borderId="0" xfId="6" applyFont="1" applyFill="1" applyAlignment="1">
      <alignment horizontal="center" vertical="center" wrapText="1"/>
    </xf>
    <xf numFmtId="0" fontId="22" fillId="0" borderId="0" xfId="6" applyFont="1" applyFill="1" applyAlignment="1">
      <alignment wrapText="1"/>
    </xf>
    <xf numFmtId="0" fontId="22" fillId="0" borderId="34" xfId="6" applyFont="1" applyFill="1" applyBorder="1" applyAlignment="1">
      <alignment wrapText="1"/>
    </xf>
    <xf numFmtId="167" fontId="40" fillId="0" borderId="0" xfId="2" applyNumberFormat="1" applyFont="1" applyFill="1" applyAlignment="1">
      <alignment horizontal="center" vertical="center"/>
    </xf>
    <xf numFmtId="167" fontId="40" fillId="0" borderId="0" xfId="2" applyNumberFormat="1" applyFont="1" applyFill="1" applyAlignment="1">
      <alignment vertical="center" wrapText="1"/>
    </xf>
    <xf numFmtId="164" fontId="40" fillId="0" borderId="0" xfId="2" applyNumberFormat="1" applyFont="1" applyFill="1" applyAlignment="1">
      <alignment horizontal="center" vertical="center"/>
    </xf>
    <xf numFmtId="4" fontId="40" fillId="0" borderId="0" xfId="2" applyNumberFormat="1" applyFont="1" applyFill="1" applyAlignment="1">
      <alignment horizontal="center" vertical="center"/>
    </xf>
    <xf numFmtId="1" fontId="40" fillId="0" borderId="0" xfId="2" applyNumberFormat="1" applyFont="1" applyFill="1" applyAlignment="1">
      <alignment horizontal="center" vertical="center"/>
    </xf>
    <xf numFmtId="0" fontId="19" fillId="0" borderId="0" xfId="2" applyFont="1" applyFill="1" applyAlignment="1">
      <alignment horizontal="center" vertical="center"/>
    </xf>
    <xf numFmtId="1" fontId="19" fillId="0" borderId="0" xfId="2" applyNumberFormat="1" applyFont="1" applyFill="1" applyAlignment="1">
      <alignment horizontal="center" vertical="center"/>
    </xf>
    <xf numFmtId="167" fontId="20" fillId="0" borderId="0" xfId="2" applyNumberFormat="1" applyFont="1" applyFill="1" applyAlignment="1">
      <alignment horizontal="center" vertical="center" wrapText="1"/>
    </xf>
    <xf numFmtId="167" fontId="20" fillId="0" borderId="0" xfId="2" applyNumberFormat="1" applyFont="1" applyFill="1" applyAlignment="1">
      <alignment vertical="center" wrapText="1"/>
    </xf>
    <xf numFmtId="164" fontId="20" fillId="0" borderId="0" xfId="2" applyNumberFormat="1" applyFont="1" applyFill="1" applyAlignment="1">
      <alignment horizontal="center" vertical="center" wrapText="1"/>
    </xf>
    <xf numFmtId="4" fontId="20" fillId="0" borderId="0" xfId="2" applyNumberFormat="1" applyFont="1" applyFill="1" applyAlignment="1">
      <alignment horizontal="center" vertical="center" wrapText="1"/>
    </xf>
    <xf numFmtId="1" fontId="20" fillId="0" borderId="0" xfId="2" applyNumberFormat="1" applyFont="1" applyFill="1" applyAlignment="1">
      <alignment horizontal="center" vertical="center" wrapText="1"/>
    </xf>
    <xf numFmtId="167" fontId="41" fillId="0" borderId="0" xfId="2" applyNumberFormat="1" applyFont="1" applyFill="1" applyAlignment="1">
      <alignment horizontal="center" vertical="center" wrapText="1"/>
    </xf>
    <xf numFmtId="167" fontId="41" fillId="0" borderId="0" xfId="2" applyNumberFormat="1" applyFont="1" applyFill="1" applyAlignment="1">
      <alignment vertical="center" wrapText="1"/>
    </xf>
    <xf numFmtId="164" fontId="41" fillId="0" borderId="0" xfId="2" applyNumberFormat="1" applyFont="1" applyFill="1" applyAlignment="1">
      <alignment horizontal="center" vertical="center" wrapText="1"/>
    </xf>
    <xf numFmtId="4" fontId="41" fillId="0" borderId="0" xfId="2" applyNumberFormat="1" applyFont="1" applyFill="1" applyAlignment="1">
      <alignment horizontal="center" vertical="center" wrapText="1"/>
    </xf>
    <xf numFmtId="1" fontId="41" fillId="0" borderId="0" xfId="2" applyNumberFormat="1" applyFont="1" applyFill="1" applyAlignment="1">
      <alignment horizontal="center" vertical="center" wrapText="1"/>
    </xf>
    <xf numFmtId="0" fontId="22" fillId="0" borderId="0" xfId="6" applyFont="1" applyFill="1" applyAlignment="1">
      <alignment horizontal="center" vertical="center"/>
    </xf>
    <xf numFmtId="164" fontId="22" fillId="0" borderId="0" xfId="6" applyNumberFormat="1" applyFont="1" applyFill="1" applyAlignment="1">
      <alignment horizontal="center" vertical="center"/>
    </xf>
    <xf numFmtId="1" fontId="22" fillId="0" borderId="0" xfId="6" applyNumberFormat="1" applyFont="1" applyFill="1" applyAlignment="1">
      <alignment horizontal="center" vertical="center"/>
    </xf>
    <xf numFmtId="0" fontId="22" fillId="0" borderId="0" xfId="6" applyFont="1" applyFill="1"/>
    <xf numFmtId="0" fontId="9" fillId="0" borderId="0" xfId="1" applyFont="1" applyFill="1" applyAlignment="1" applyProtection="1">
      <alignment horizontal="left" vertical="center" wrapText="1"/>
    </xf>
    <xf numFmtId="39" fontId="9" fillId="0" borderId="0" xfId="1" applyNumberFormat="1" applyFont="1" applyFill="1" applyAlignment="1" applyProtection="1">
      <alignment horizontal="center" vertical="center" wrapText="1"/>
    </xf>
    <xf numFmtId="165" fontId="9" fillId="0" borderId="0" xfId="1" applyNumberFormat="1" applyFont="1" applyFill="1" applyAlignment="1" applyProtection="1">
      <alignment horizontal="left" vertical="center" wrapText="1"/>
    </xf>
    <xf numFmtId="165" fontId="50" fillId="0" borderId="0" xfId="6" applyNumberFormat="1" applyFont="1" applyFill="1" applyBorder="1" applyAlignment="1">
      <alignment horizontal="left"/>
    </xf>
    <xf numFmtId="0" fontId="5" fillId="0" borderId="0" xfId="1" applyFont="1" applyFill="1" applyAlignment="1" applyProtection="1">
      <alignment horizontal="left" vertical="center" wrapText="1"/>
    </xf>
    <xf numFmtId="0" fontId="6" fillId="0" borderId="0" xfId="1" applyFont="1" applyFill="1" applyAlignment="1" applyProtection="1">
      <alignment horizontal="left" vertical="center" wrapText="1"/>
    </xf>
    <xf numFmtId="0" fontId="14" fillId="2" borderId="0" xfId="5" applyFont="1" applyFill="1" applyAlignment="1" applyProtection="1">
      <alignment horizontal="left" vertical="center"/>
    </xf>
    <xf numFmtId="0" fontId="14" fillId="0" borderId="0" xfId="5" applyFont="1" applyFill="1" applyAlignment="1" applyProtection="1">
      <alignment horizontal="left" vertical="center"/>
    </xf>
    <xf numFmtId="1" fontId="19" fillId="2" borderId="27" xfId="2" applyNumberFormat="1" applyFont="1" applyFill="1" applyBorder="1" applyAlignment="1">
      <alignment horizontal="center" vertical="center"/>
    </xf>
    <xf numFmtId="1" fontId="19" fillId="2" borderId="12" xfId="2" applyNumberFormat="1" applyFont="1" applyFill="1" applyBorder="1" applyAlignment="1">
      <alignment horizontal="center" vertical="center"/>
    </xf>
    <xf numFmtId="1" fontId="19" fillId="2" borderId="26" xfId="2" applyNumberFormat="1" applyFont="1" applyFill="1" applyBorder="1" applyAlignment="1">
      <alignment horizontal="center" vertical="center"/>
    </xf>
    <xf numFmtId="0" fontId="56" fillId="2" borderId="0" xfId="5" applyFont="1" applyFill="1" applyAlignment="1" applyProtection="1">
      <alignment horizontal="left" vertical="center"/>
    </xf>
  </cellXfs>
  <cellStyles count="7">
    <cellStyle name="Normální" xfId="0" builtinId="0"/>
    <cellStyle name="normální 12" xfId="1"/>
    <cellStyle name="Normální 2" xfId="6"/>
    <cellStyle name="normální 2 2" xfId="2"/>
    <cellStyle name="normální 5" xfId="5"/>
    <cellStyle name="normální 9" xfId="3"/>
    <cellStyle name="normální 9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ona/PROJEKTY/&#268;echova_realizace/Revitalizace%20zelen&#283;%20na%20ulici%20&#268;echova_final/editovateln&#233;%20tab/Pr&#225;ce,%20projekty/Sady%20Orlov&#225;/25.8.2014_Sadovnick&#233;%20&#250;pravy%20Orlov&#225;/F.%20rozpo&#269;et/25.8.2014%20Polo&#382;kov&#253;%20rozpo&#269;et_fin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 příloh"/>
      <sheetName val="1 Krycí list"/>
      <sheetName val="2 Rekapitulace"/>
      <sheetName val="3 SO00-všeobecné náklady"/>
      <sheetName val="4 Kácení"/>
      <sheetName val="4.1 VÝMĚRNICE KÁCENÍ"/>
      <sheetName val="5 Pěstební řez dřevin"/>
      <sheetName val="5.1 Výměry pěstebních řezů"/>
      <sheetName val="6 Výsadba stromů"/>
      <sheetName val="6.1 VÝMĚRNICE VÝSADBY STROMŮ"/>
      <sheetName val="7. Založení keřových výsadeb"/>
      <sheetName val="7.1 VÝMĚRNICE ZÁHONOVÉ VÝSADBY"/>
      <sheetName val="7.2. VÝMĚRNICE SPECIFIKACE KEŘŮ"/>
      <sheetName val="8 Založení trávníku"/>
      <sheetName val="8.1 VÝMERNICE ZALOŽENÍ TRÁVNÍKŮ"/>
      <sheetName val="ZKRATKY A VYSVĚTLIVKY"/>
      <sheetName val="List2"/>
    </sheetNames>
    <sheetDataSet>
      <sheetData sheetId="0"/>
      <sheetData sheetId="1">
        <row r="5">
          <cell r="E5" t="str">
            <v>SADOVNICKÉ ÚPRAVY V LOKALITĚ ORLOVÁ - PORUBA</v>
          </cell>
        </row>
      </sheetData>
      <sheetData sheetId="2">
        <row r="20">
          <cell r="C20">
            <v>4674168.3477754565</v>
          </cell>
        </row>
      </sheetData>
      <sheetData sheetId="3">
        <row r="3">
          <cell r="C3" t="str">
            <v>SO 00 VŠEOBECNÉ NÁKLADY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1"/>
  <sheetViews>
    <sheetView tabSelected="1" view="pageBreakPreview" zoomScaleNormal="100" zoomScaleSheetLayoutView="100" workbookViewId="0">
      <selection activeCell="J25" sqref="J25"/>
    </sheetView>
  </sheetViews>
  <sheetFormatPr defaultRowHeight="12.75" x14ac:dyDescent="0.25"/>
  <cols>
    <col min="1" max="1" width="8.7109375" style="41" customWidth="1"/>
    <col min="2" max="2" width="27.5703125" style="417" customWidth="1"/>
    <col min="3" max="3" width="15.140625" style="49" customWidth="1"/>
    <col min="4" max="4" width="14.5703125" style="49" customWidth="1"/>
    <col min="5" max="6" width="16" style="50" customWidth="1"/>
    <col min="7" max="7" width="3.85546875" style="50" customWidth="1"/>
    <col min="8" max="8" width="21.140625" style="451" customWidth="1"/>
    <col min="9" max="9" width="13" style="449" customWidth="1"/>
    <col min="10" max="10" width="9.140625" style="41"/>
    <col min="11" max="11" width="11" style="41" bestFit="1" customWidth="1"/>
    <col min="12" max="250" width="9.140625" style="41"/>
    <col min="251" max="251" width="11.7109375" style="41" customWidth="1"/>
    <col min="252" max="252" width="38.28515625" style="41" customWidth="1"/>
    <col min="253" max="253" width="15" style="41" bestFit="1" customWidth="1"/>
    <col min="254" max="254" width="7.140625" style="41" customWidth="1"/>
    <col min="255" max="255" width="9.140625" style="41" customWidth="1"/>
    <col min="256" max="256" width="7.28515625" style="41" customWidth="1"/>
    <col min="257" max="257" width="6.7109375" style="41" customWidth="1"/>
    <col min="258" max="258" width="7.5703125" style="41" customWidth="1"/>
    <col min="259" max="259" width="8.140625" style="41" customWidth="1"/>
    <col min="260" max="260" width="7.42578125" style="41" customWidth="1"/>
    <col min="261" max="261" width="14" style="41" customWidth="1"/>
    <col min="262" max="262" width="14" style="41" bestFit="1" customWidth="1"/>
    <col min="263" max="263" width="15" style="41" bestFit="1" customWidth="1"/>
    <col min="264" max="264" width="9.140625" style="41"/>
    <col min="265" max="265" width="10.85546875" style="41" bestFit="1" customWidth="1"/>
    <col min="266" max="506" width="9.140625" style="41"/>
    <col min="507" max="507" width="11.7109375" style="41" customWidth="1"/>
    <col min="508" max="508" width="38.28515625" style="41" customWidth="1"/>
    <col min="509" max="509" width="15" style="41" bestFit="1" customWidth="1"/>
    <col min="510" max="510" width="7.140625" style="41" customWidth="1"/>
    <col min="511" max="511" width="9.140625" style="41" customWidth="1"/>
    <col min="512" max="512" width="7.28515625" style="41" customWidth="1"/>
    <col min="513" max="513" width="6.7109375" style="41" customWidth="1"/>
    <col min="514" max="514" width="7.5703125" style="41" customWidth="1"/>
    <col min="515" max="515" width="8.140625" style="41" customWidth="1"/>
    <col min="516" max="516" width="7.42578125" style="41" customWidth="1"/>
    <col min="517" max="517" width="14" style="41" customWidth="1"/>
    <col min="518" max="518" width="14" style="41" bestFit="1" customWidth="1"/>
    <col min="519" max="519" width="15" style="41" bestFit="1" customWidth="1"/>
    <col min="520" max="520" width="9.140625" style="41"/>
    <col min="521" max="521" width="10.85546875" style="41" bestFit="1" customWidth="1"/>
    <col min="522" max="762" width="9.140625" style="41"/>
    <col min="763" max="763" width="11.7109375" style="41" customWidth="1"/>
    <col min="764" max="764" width="38.28515625" style="41" customWidth="1"/>
    <col min="765" max="765" width="15" style="41" bestFit="1" customWidth="1"/>
    <col min="766" max="766" width="7.140625" style="41" customWidth="1"/>
    <col min="767" max="767" width="9.140625" style="41" customWidth="1"/>
    <col min="768" max="768" width="7.28515625" style="41" customWidth="1"/>
    <col min="769" max="769" width="6.7109375" style="41" customWidth="1"/>
    <col min="770" max="770" width="7.5703125" style="41" customWidth="1"/>
    <col min="771" max="771" width="8.140625" style="41" customWidth="1"/>
    <col min="772" max="772" width="7.42578125" style="41" customWidth="1"/>
    <col min="773" max="773" width="14" style="41" customWidth="1"/>
    <col min="774" max="774" width="14" style="41" bestFit="1" customWidth="1"/>
    <col min="775" max="775" width="15" style="41" bestFit="1" customWidth="1"/>
    <col min="776" max="776" width="9.140625" style="41"/>
    <col min="777" max="777" width="10.85546875" style="41" bestFit="1" customWidth="1"/>
    <col min="778" max="1018" width="9.140625" style="41"/>
    <col min="1019" max="1019" width="11.7109375" style="41" customWidth="1"/>
    <col min="1020" max="1020" width="38.28515625" style="41" customWidth="1"/>
    <col min="1021" max="1021" width="15" style="41" bestFit="1" customWidth="1"/>
    <col min="1022" max="1022" width="7.140625" style="41" customWidth="1"/>
    <col min="1023" max="1023" width="9.140625" style="41" customWidth="1"/>
    <col min="1024" max="1024" width="7.28515625" style="41" customWidth="1"/>
    <col min="1025" max="1025" width="6.7109375" style="41" customWidth="1"/>
    <col min="1026" max="1026" width="7.5703125" style="41" customWidth="1"/>
    <col min="1027" max="1027" width="8.140625" style="41" customWidth="1"/>
    <col min="1028" max="1028" width="7.42578125" style="41" customWidth="1"/>
    <col min="1029" max="1029" width="14" style="41" customWidth="1"/>
    <col min="1030" max="1030" width="14" style="41" bestFit="1" customWidth="1"/>
    <col min="1031" max="1031" width="15" style="41" bestFit="1" customWidth="1"/>
    <col min="1032" max="1032" width="9.140625" style="41"/>
    <col min="1033" max="1033" width="10.85546875" style="41" bestFit="1" customWidth="1"/>
    <col min="1034" max="1274" width="9.140625" style="41"/>
    <col min="1275" max="1275" width="11.7109375" style="41" customWidth="1"/>
    <col min="1276" max="1276" width="38.28515625" style="41" customWidth="1"/>
    <col min="1277" max="1277" width="15" style="41" bestFit="1" customWidth="1"/>
    <col min="1278" max="1278" width="7.140625" style="41" customWidth="1"/>
    <col min="1279" max="1279" width="9.140625" style="41" customWidth="1"/>
    <col min="1280" max="1280" width="7.28515625" style="41" customWidth="1"/>
    <col min="1281" max="1281" width="6.7109375" style="41" customWidth="1"/>
    <col min="1282" max="1282" width="7.5703125" style="41" customWidth="1"/>
    <col min="1283" max="1283" width="8.140625" style="41" customWidth="1"/>
    <col min="1284" max="1284" width="7.42578125" style="41" customWidth="1"/>
    <col min="1285" max="1285" width="14" style="41" customWidth="1"/>
    <col min="1286" max="1286" width="14" style="41" bestFit="1" customWidth="1"/>
    <col min="1287" max="1287" width="15" style="41" bestFit="1" customWidth="1"/>
    <col min="1288" max="1288" width="9.140625" style="41"/>
    <col min="1289" max="1289" width="10.85546875" style="41" bestFit="1" customWidth="1"/>
    <col min="1290" max="1530" width="9.140625" style="41"/>
    <col min="1531" max="1531" width="11.7109375" style="41" customWidth="1"/>
    <col min="1532" max="1532" width="38.28515625" style="41" customWidth="1"/>
    <col min="1533" max="1533" width="15" style="41" bestFit="1" customWidth="1"/>
    <col min="1534" max="1534" width="7.140625" style="41" customWidth="1"/>
    <col min="1535" max="1535" width="9.140625" style="41" customWidth="1"/>
    <col min="1536" max="1536" width="7.28515625" style="41" customWidth="1"/>
    <col min="1537" max="1537" width="6.7109375" style="41" customWidth="1"/>
    <col min="1538" max="1538" width="7.5703125" style="41" customWidth="1"/>
    <col min="1539" max="1539" width="8.140625" style="41" customWidth="1"/>
    <col min="1540" max="1540" width="7.42578125" style="41" customWidth="1"/>
    <col min="1541" max="1541" width="14" style="41" customWidth="1"/>
    <col min="1542" max="1542" width="14" style="41" bestFit="1" customWidth="1"/>
    <col min="1543" max="1543" width="15" style="41" bestFit="1" customWidth="1"/>
    <col min="1544" max="1544" width="9.140625" style="41"/>
    <col min="1545" max="1545" width="10.85546875" style="41" bestFit="1" customWidth="1"/>
    <col min="1546" max="1786" width="9.140625" style="41"/>
    <col min="1787" max="1787" width="11.7109375" style="41" customWidth="1"/>
    <col min="1788" max="1788" width="38.28515625" style="41" customWidth="1"/>
    <col min="1789" max="1789" width="15" style="41" bestFit="1" customWidth="1"/>
    <col min="1790" max="1790" width="7.140625" style="41" customWidth="1"/>
    <col min="1791" max="1791" width="9.140625" style="41" customWidth="1"/>
    <col min="1792" max="1792" width="7.28515625" style="41" customWidth="1"/>
    <col min="1793" max="1793" width="6.7109375" style="41" customWidth="1"/>
    <col min="1794" max="1794" width="7.5703125" style="41" customWidth="1"/>
    <col min="1795" max="1795" width="8.140625" style="41" customWidth="1"/>
    <col min="1796" max="1796" width="7.42578125" style="41" customWidth="1"/>
    <col min="1797" max="1797" width="14" style="41" customWidth="1"/>
    <col min="1798" max="1798" width="14" style="41" bestFit="1" customWidth="1"/>
    <col min="1799" max="1799" width="15" style="41" bestFit="1" customWidth="1"/>
    <col min="1800" max="1800" width="9.140625" style="41"/>
    <col min="1801" max="1801" width="10.85546875" style="41" bestFit="1" customWidth="1"/>
    <col min="1802" max="2042" width="9.140625" style="41"/>
    <col min="2043" max="2043" width="11.7109375" style="41" customWidth="1"/>
    <col min="2044" max="2044" width="38.28515625" style="41" customWidth="1"/>
    <col min="2045" max="2045" width="15" style="41" bestFit="1" customWidth="1"/>
    <col min="2046" max="2046" width="7.140625" style="41" customWidth="1"/>
    <col min="2047" max="2047" width="9.140625" style="41" customWidth="1"/>
    <col min="2048" max="2048" width="7.28515625" style="41" customWidth="1"/>
    <col min="2049" max="2049" width="6.7109375" style="41" customWidth="1"/>
    <col min="2050" max="2050" width="7.5703125" style="41" customWidth="1"/>
    <col min="2051" max="2051" width="8.140625" style="41" customWidth="1"/>
    <col min="2052" max="2052" width="7.42578125" style="41" customWidth="1"/>
    <col min="2053" max="2053" width="14" style="41" customWidth="1"/>
    <col min="2054" max="2054" width="14" style="41" bestFit="1" customWidth="1"/>
    <col min="2055" max="2055" width="15" style="41" bestFit="1" customWidth="1"/>
    <col min="2056" max="2056" width="9.140625" style="41"/>
    <col min="2057" max="2057" width="10.85546875" style="41" bestFit="1" customWidth="1"/>
    <col min="2058" max="2298" width="9.140625" style="41"/>
    <col min="2299" max="2299" width="11.7109375" style="41" customWidth="1"/>
    <col min="2300" max="2300" width="38.28515625" style="41" customWidth="1"/>
    <col min="2301" max="2301" width="15" style="41" bestFit="1" customWidth="1"/>
    <col min="2302" max="2302" width="7.140625" style="41" customWidth="1"/>
    <col min="2303" max="2303" width="9.140625" style="41" customWidth="1"/>
    <col min="2304" max="2304" width="7.28515625" style="41" customWidth="1"/>
    <col min="2305" max="2305" width="6.7109375" style="41" customWidth="1"/>
    <col min="2306" max="2306" width="7.5703125" style="41" customWidth="1"/>
    <col min="2307" max="2307" width="8.140625" style="41" customWidth="1"/>
    <col min="2308" max="2308" width="7.42578125" style="41" customWidth="1"/>
    <col min="2309" max="2309" width="14" style="41" customWidth="1"/>
    <col min="2310" max="2310" width="14" style="41" bestFit="1" customWidth="1"/>
    <col min="2311" max="2311" width="15" style="41" bestFit="1" customWidth="1"/>
    <col min="2312" max="2312" width="9.140625" style="41"/>
    <col min="2313" max="2313" width="10.85546875" style="41" bestFit="1" customWidth="1"/>
    <col min="2314" max="2554" width="9.140625" style="41"/>
    <col min="2555" max="2555" width="11.7109375" style="41" customWidth="1"/>
    <col min="2556" max="2556" width="38.28515625" style="41" customWidth="1"/>
    <col min="2557" max="2557" width="15" style="41" bestFit="1" customWidth="1"/>
    <col min="2558" max="2558" width="7.140625" style="41" customWidth="1"/>
    <col min="2559" max="2559" width="9.140625" style="41" customWidth="1"/>
    <col min="2560" max="2560" width="7.28515625" style="41" customWidth="1"/>
    <col min="2561" max="2561" width="6.7109375" style="41" customWidth="1"/>
    <col min="2562" max="2562" width="7.5703125" style="41" customWidth="1"/>
    <col min="2563" max="2563" width="8.140625" style="41" customWidth="1"/>
    <col min="2564" max="2564" width="7.42578125" style="41" customWidth="1"/>
    <col min="2565" max="2565" width="14" style="41" customWidth="1"/>
    <col min="2566" max="2566" width="14" style="41" bestFit="1" customWidth="1"/>
    <col min="2567" max="2567" width="15" style="41" bestFit="1" customWidth="1"/>
    <col min="2568" max="2568" width="9.140625" style="41"/>
    <col min="2569" max="2569" width="10.85546875" style="41" bestFit="1" customWidth="1"/>
    <col min="2570" max="2810" width="9.140625" style="41"/>
    <col min="2811" max="2811" width="11.7109375" style="41" customWidth="1"/>
    <col min="2812" max="2812" width="38.28515625" style="41" customWidth="1"/>
    <col min="2813" max="2813" width="15" style="41" bestFit="1" customWidth="1"/>
    <col min="2814" max="2814" width="7.140625" style="41" customWidth="1"/>
    <col min="2815" max="2815" width="9.140625" style="41" customWidth="1"/>
    <col min="2816" max="2816" width="7.28515625" style="41" customWidth="1"/>
    <col min="2817" max="2817" width="6.7109375" style="41" customWidth="1"/>
    <col min="2818" max="2818" width="7.5703125" style="41" customWidth="1"/>
    <col min="2819" max="2819" width="8.140625" style="41" customWidth="1"/>
    <col min="2820" max="2820" width="7.42578125" style="41" customWidth="1"/>
    <col min="2821" max="2821" width="14" style="41" customWidth="1"/>
    <col min="2822" max="2822" width="14" style="41" bestFit="1" customWidth="1"/>
    <col min="2823" max="2823" width="15" style="41" bestFit="1" customWidth="1"/>
    <col min="2824" max="2824" width="9.140625" style="41"/>
    <col min="2825" max="2825" width="10.85546875" style="41" bestFit="1" customWidth="1"/>
    <col min="2826" max="3066" width="9.140625" style="41"/>
    <col min="3067" max="3067" width="11.7109375" style="41" customWidth="1"/>
    <col min="3068" max="3068" width="38.28515625" style="41" customWidth="1"/>
    <col min="3069" max="3069" width="15" style="41" bestFit="1" customWidth="1"/>
    <col min="3070" max="3070" width="7.140625" style="41" customWidth="1"/>
    <col min="3071" max="3071" width="9.140625" style="41" customWidth="1"/>
    <col min="3072" max="3072" width="7.28515625" style="41" customWidth="1"/>
    <col min="3073" max="3073" width="6.7109375" style="41" customWidth="1"/>
    <col min="3074" max="3074" width="7.5703125" style="41" customWidth="1"/>
    <col min="3075" max="3075" width="8.140625" style="41" customWidth="1"/>
    <col min="3076" max="3076" width="7.42578125" style="41" customWidth="1"/>
    <col min="3077" max="3077" width="14" style="41" customWidth="1"/>
    <col min="3078" max="3078" width="14" style="41" bestFit="1" customWidth="1"/>
    <col min="3079" max="3079" width="15" style="41" bestFit="1" customWidth="1"/>
    <col min="3080" max="3080" width="9.140625" style="41"/>
    <col min="3081" max="3081" width="10.85546875" style="41" bestFit="1" customWidth="1"/>
    <col min="3082" max="3322" width="9.140625" style="41"/>
    <col min="3323" max="3323" width="11.7109375" style="41" customWidth="1"/>
    <col min="3324" max="3324" width="38.28515625" style="41" customWidth="1"/>
    <col min="3325" max="3325" width="15" style="41" bestFit="1" customWidth="1"/>
    <col min="3326" max="3326" width="7.140625" style="41" customWidth="1"/>
    <col min="3327" max="3327" width="9.140625" style="41" customWidth="1"/>
    <col min="3328" max="3328" width="7.28515625" style="41" customWidth="1"/>
    <col min="3329" max="3329" width="6.7109375" style="41" customWidth="1"/>
    <col min="3330" max="3330" width="7.5703125" style="41" customWidth="1"/>
    <col min="3331" max="3331" width="8.140625" style="41" customWidth="1"/>
    <col min="3332" max="3332" width="7.42578125" style="41" customWidth="1"/>
    <col min="3333" max="3333" width="14" style="41" customWidth="1"/>
    <col min="3334" max="3334" width="14" style="41" bestFit="1" customWidth="1"/>
    <col min="3335" max="3335" width="15" style="41" bestFit="1" customWidth="1"/>
    <col min="3336" max="3336" width="9.140625" style="41"/>
    <col min="3337" max="3337" width="10.85546875" style="41" bestFit="1" customWidth="1"/>
    <col min="3338" max="3578" width="9.140625" style="41"/>
    <col min="3579" max="3579" width="11.7109375" style="41" customWidth="1"/>
    <col min="3580" max="3580" width="38.28515625" style="41" customWidth="1"/>
    <col min="3581" max="3581" width="15" style="41" bestFit="1" customWidth="1"/>
    <col min="3582" max="3582" width="7.140625" style="41" customWidth="1"/>
    <col min="3583" max="3583" width="9.140625" style="41" customWidth="1"/>
    <col min="3584" max="3584" width="7.28515625" style="41" customWidth="1"/>
    <col min="3585" max="3585" width="6.7109375" style="41" customWidth="1"/>
    <col min="3586" max="3586" width="7.5703125" style="41" customWidth="1"/>
    <col min="3587" max="3587" width="8.140625" style="41" customWidth="1"/>
    <col min="3588" max="3588" width="7.42578125" style="41" customWidth="1"/>
    <col min="3589" max="3589" width="14" style="41" customWidth="1"/>
    <col min="3590" max="3590" width="14" style="41" bestFit="1" customWidth="1"/>
    <col min="3591" max="3591" width="15" style="41" bestFit="1" customWidth="1"/>
    <col min="3592" max="3592" width="9.140625" style="41"/>
    <col min="3593" max="3593" width="10.85546875" style="41" bestFit="1" customWidth="1"/>
    <col min="3594" max="3834" width="9.140625" style="41"/>
    <col min="3835" max="3835" width="11.7109375" style="41" customWidth="1"/>
    <col min="3836" max="3836" width="38.28515625" style="41" customWidth="1"/>
    <col min="3837" max="3837" width="15" style="41" bestFit="1" customWidth="1"/>
    <col min="3838" max="3838" width="7.140625" style="41" customWidth="1"/>
    <col min="3839" max="3839" width="9.140625" style="41" customWidth="1"/>
    <col min="3840" max="3840" width="7.28515625" style="41" customWidth="1"/>
    <col min="3841" max="3841" width="6.7109375" style="41" customWidth="1"/>
    <col min="3842" max="3842" width="7.5703125" style="41" customWidth="1"/>
    <col min="3843" max="3843" width="8.140625" style="41" customWidth="1"/>
    <col min="3844" max="3844" width="7.42578125" style="41" customWidth="1"/>
    <col min="3845" max="3845" width="14" style="41" customWidth="1"/>
    <col min="3846" max="3846" width="14" style="41" bestFit="1" customWidth="1"/>
    <col min="3847" max="3847" width="15" style="41" bestFit="1" customWidth="1"/>
    <col min="3848" max="3848" width="9.140625" style="41"/>
    <col min="3849" max="3849" width="10.85546875" style="41" bestFit="1" customWidth="1"/>
    <col min="3850" max="4090" width="9.140625" style="41"/>
    <col min="4091" max="4091" width="11.7109375" style="41" customWidth="1"/>
    <col min="4092" max="4092" width="38.28515625" style="41" customWidth="1"/>
    <col min="4093" max="4093" width="15" style="41" bestFit="1" customWidth="1"/>
    <col min="4094" max="4094" width="7.140625" style="41" customWidth="1"/>
    <col min="4095" max="4095" width="9.140625" style="41" customWidth="1"/>
    <col min="4096" max="4096" width="7.28515625" style="41" customWidth="1"/>
    <col min="4097" max="4097" width="6.7109375" style="41" customWidth="1"/>
    <col min="4098" max="4098" width="7.5703125" style="41" customWidth="1"/>
    <col min="4099" max="4099" width="8.140625" style="41" customWidth="1"/>
    <col min="4100" max="4100" width="7.42578125" style="41" customWidth="1"/>
    <col min="4101" max="4101" width="14" style="41" customWidth="1"/>
    <col min="4102" max="4102" width="14" style="41" bestFit="1" customWidth="1"/>
    <col min="4103" max="4103" width="15" style="41" bestFit="1" customWidth="1"/>
    <col min="4104" max="4104" width="9.140625" style="41"/>
    <col min="4105" max="4105" width="10.85546875" style="41" bestFit="1" customWidth="1"/>
    <col min="4106" max="4346" width="9.140625" style="41"/>
    <col min="4347" max="4347" width="11.7109375" style="41" customWidth="1"/>
    <col min="4348" max="4348" width="38.28515625" style="41" customWidth="1"/>
    <col min="4349" max="4349" width="15" style="41" bestFit="1" customWidth="1"/>
    <col min="4350" max="4350" width="7.140625" style="41" customWidth="1"/>
    <col min="4351" max="4351" width="9.140625" style="41" customWidth="1"/>
    <col min="4352" max="4352" width="7.28515625" style="41" customWidth="1"/>
    <col min="4353" max="4353" width="6.7109375" style="41" customWidth="1"/>
    <col min="4354" max="4354" width="7.5703125" style="41" customWidth="1"/>
    <col min="4355" max="4355" width="8.140625" style="41" customWidth="1"/>
    <col min="4356" max="4356" width="7.42578125" style="41" customWidth="1"/>
    <col min="4357" max="4357" width="14" style="41" customWidth="1"/>
    <col min="4358" max="4358" width="14" style="41" bestFit="1" customWidth="1"/>
    <col min="4359" max="4359" width="15" style="41" bestFit="1" customWidth="1"/>
    <col min="4360" max="4360" width="9.140625" style="41"/>
    <col min="4361" max="4361" width="10.85546875" style="41" bestFit="1" customWidth="1"/>
    <col min="4362" max="4602" width="9.140625" style="41"/>
    <col min="4603" max="4603" width="11.7109375" style="41" customWidth="1"/>
    <col min="4604" max="4604" width="38.28515625" style="41" customWidth="1"/>
    <col min="4605" max="4605" width="15" style="41" bestFit="1" customWidth="1"/>
    <col min="4606" max="4606" width="7.140625" style="41" customWidth="1"/>
    <col min="4607" max="4607" width="9.140625" style="41" customWidth="1"/>
    <col min="4608" max="4608" width="7.28515625" style="41" customWidth="1"/>
    <col min="4609" max="4609" width="6.7109375" style="41" customWidth="1"/>
    <col min="4610" max="4610" width="7.5703125" style="41" customWidth="1"/>
    <col min="4611" max="4611" width="8.140625" style="41" customWidth="1"/>
    <col min="4612" max="4612" width="7.42578125" style="41" customWidth="1"/>
    <col min="4613" max="4613" width="14" style="41" customWidth="1"/>
    <col min="4614" max="4614" width="14" style="41" bestFit="1" customWidth="1"/>
    <col min="4615" max="4615" width="15" style="41" bestFit="1" customWidth="1"/>
    <col min="4616" max="4616" width="9.140625" style="41"/>
    <col min="4617" max="4617" width="10.85546875" style="41" bestFit="1" customWidth="1"/>
    <col min="4618" max="4858" width="9.140625" style="41"/>
    <col min="4859" max="4859" width="11.7109375" style="41" customWidth="1"/>
    <col min="4860" max="4860" width="38.28515625" style="41" customWidth="1"/>
    <col min="4861" max="4861" width="15" style="41" bestFit="1" customWidth="1"/>
    <col min="4862" max="4862" width="7.140625" style="41" customWidth="1"/>
    <col min="4863" max="4863" width="9.140625" style="41" customWidth="1"/>
    <col min="4864" max="4864" width="7.28515625" style="41" customWidth="1"/>
    <col min="4865" max="4865" width="6.7109375" style="41" customWidth="1"/>
    <col min="4866" max="4866" width="7.5703125" style="41" customWidth="1"/>
    <col min="4867" max="4867" width="8.140625" style="41" customWidth="1"/>
    <col min="4868" max="4868" width="7.42578125" style="41" customWidth="1"/>
    <col min="4869" max="4869" width="14" style="41" customWidth="1"/>
    <col min="4870" max="4870" width="14" style="41" bestFit="1" customWidth="1"/>
    <col min="4871" max="4871" width="15" style="41" bestFit="1" customWidth="1"/>
    <col min="4872" max="4872" width="9.140625" style="41"/>
    <col min="4873" max="4873" width="10.85546875" style="41" bestFit="1" customWidth="1"/>
    <col min="4874" max="5114" width="9.140625" style="41"/>
    <col min="5115" max="5115" width="11.7109375" style="41" customWidth="1"/>
    <col min="5116" max="5116" width="38.28515625" style="41" customWidth="1"/>
    <col min="5117" max="5117" width="15" style="41" bestFit="1" customWidth="1"/>
    <col min="5118" max="5118" width="7.140625" style="41" customWidth="1"/>
    <col min="5119" max="5119" width="9.140625" style="41" customWidth="1"/>
    <col min="5120" max="5120" width="7.28515625" style="41" customWidth="1"/>
    <col min="5121" max="5121" width="6.7109375" style="41" customWidth="1"/>
    <col min="5122" max="5122" width="7.5703125" style="41" customWidth="1"/>
    <col min="5123" max="5123" width="8.140625" style="41" customWidth="1"/>
    <col min="5124" max="5124" width="7.42578125" style="41" customWidth="1"/>
    <col min="5125" max="5125" width="14" style="41" customWidth="1"/>
    <col min="5126" max="5126" width="14" style="41" bestFit="1" customWidth="1"/>
    <col min="5127" max="5127" width="15" style="41" bestFit="1" customWidth="1"/>
    <col min="5128" max="5128" width="9.140625" style="41"/>
    <col min="5129" max="5129" width="10.85546875" style="41" bestFit="1" customWidth="1"/>
    <col min="5130" max="5370" width="9.140625" style="41"/>
    <col min="5371" max="5371" width="11.7109375" style="41" customWidth="1"/>
    <col min="5372" max="5372" width="38.28515625" style="41" customWidth="1"/>
    <col min="5373" max="5373" width="15" style="41" bestFit="1" customWidth="1"/>
    <col min="5374" max="5374" width="7.140625" style="41" customWidth="1"/>
    <col min="5375" max="5375" width="9.140625" style="41" customWidth="1"/>
    <col min="5376" max="5376" width="7.28515625" style="41" customWidth="1"/>
    <col min="5377" max="5377" width="6.7109375" style="41" customWidth="1"/>
    <col min="5378" max="5378" width="7.5703125" style="41" customWidth="1"/>
    <col min="5379" max="5379" width="8.140625" style="41" customWidth="1"/>
    <col min="5380" max="5380" width="7.42578125" style="41" customWidth="1"/>
    <col min="5381" max="5381" width="14" style="41" customWidth="1"/>
    <col min="5382" max="5382" width="14" style="41" bestFit="1" customWidth="1"/>
    <col min="5383" max="5383" width="15" style="41" bestFit="1" customWidth="1"/>
    <col min="5384" max="5384" width="9.140625" style="41"/>
    <col min="5385" max="5385" width="10.85546875" style="41" bestFit="1" customWidth="1"/>
    <col min="5386" max="5626" width="9.140625" style="41"/>
    <col min="5627" max="5627" width="11.7109375" style="41" customWidth="1"/>
    <col min="5628" max="5628" width="38.28515625" style="41" customWidth="1"/>
    <col min="5629" max="5629" width="15" style="41" bestFit="1" customWidth="1"/>
    <col min="5630" max="5630" width="7.140625" style="41" customWidth="1"/>
    <col min="5631" max="5631" width="9.140625" style="41" customWidth="1"/>
    <col min="5632" max="5632" width="7.28515625" style="41" customWidth="1"/>
    <col min="5633" max="5633" width="6.7109375" style="41" customWidth="1"/>
    <col min="5634" max="5634" width="7.5703125" style="41" customWidth="1"/>
    <col min="5635" max="5635" width="8.140625" style="41" customWidth="1"/>
    <col min="5636" max="5636" width="7.42578125" style="41" customWidth="1"/>
    <col min="5637" max="5637" width="14" style="41" customWidth="1"/>
    <col min="5638" max="5638" width="14" style="41" bestFit="1" customWidth="1"/>
    <col min="5639" max="5639" width="15" style="41" bestFit="1" customWidth="1"/>
    <col min="5640" max="5640" width="9.140625" style="41"/>
    <col min="5641" max="5641" width="10.85546875" style="41" bestFit="1" customWidth="1"/>
    <col min="5642" max="5882" width="9.140625" style="41"/>
    <col min="5883" max="5883" width="11.7109375" style="41" customWidth="1"/>
    <col min="5884" max="5884" width="38.28515625" style="41" customWidth="1"/>
    <col min="5885" max="5885" width="15" style="41" bestFit="1" customWidth="1"/>
    <col min="5886" max="5886" width="7.140625" style="41" customWidth="1"/>
    <col min="5887" max="5887" width="9.140625" style="41" customWidth="1"/>
    <col min="5888" max="5888" width="7.28515625" style="41" customWidth="1"/>
    <col min="5889" max="5889" width="6.7109375" style="41" customWidth="1"/>
    <col min="5890" max="5890" width="7.5703125" style="41" customWidth="1"/>
    <col min="5891" max="5891" width="8.140625" style="41" customWidth="1"/>
    <col min="5892" max="5892" width="7.42578125" style="41" customWidth="1"/>
    <col min="5893" max="5893" width="14" style="41" customWidth="1"/>
    <col min="5894" max="5894" width="14" style="41" bestFit="1" customWidth="1"/>
    <col min="5895" max="5895" width="15" style="41" bestFit="1" customWidth="1"/>
    <col min="5896" max="5896" width="9.140625" style="41"/>
    <col min="5897" max="5897" width="10.85546875" style="41" bestFit="1" customWidth="1"/>
    <col min="5898" max="6138" width="9.140625" style="41"/>
    <col min="6139" max="6139" width="11.7109375" style="41" customWidth="1"/>
    <col min="6140" max="6140" width="38.28515625" style="41" customWidth="1"/>
    <col min="6141" max="6141" width="15" style="41" bestFit="1" customWidth="1"/>
    <col min="6142" max="6142" width="7.140625" style="41" customWidth="1"/>
    <col min="6143" max="6143" width="9.140625" style="41" customWidth="1"/>
    <col min="6144" max="6144" width="7.28515625" style="41" customWidth="1"/>
    <col min="6145" max="6145" width="6.7109375" style="41" customWidth="1"/>
    <col min="6146" max="6146" width="7.5703125" style="41" customWidth="1"/>
    <col min="6147" max="6147" width="8.140625" style="41" customWidth="1"/>
    <col min="6148" max="6148" width="7.42578125" style="41" customWidth="1"/>
    <col min="6149" max="6149" width="14" style="41" customWidth="1"/>
    <col min="6150" max="6150" width="14" style="41" bestFit="1" customWidth="1"/>
    <col min="6151" max="6151" width="15" style="41" bestFit="1" customWidth="1"/>
    <col min="6152" max="6152" width="9.140625" style="41"/>
    <col min="6153" max="6153" width="10.85546875" style="41" bestFit="1" customWidth="1"/>
    <col min="6154" max="6394" width="9.140625" style="41"/>
    <col min="6395" max="6395" width="11.7109375" style="41" customWidth="1"/>
    <col min="6396" max="6396" width="38.28515625" style="41" customWidth="1"/>
    <col min="6397" max="6397" width="15" style="41" bestFit="1" customWidth="1"/>
    <col min="6398" max="6398" width="7.140625" style="41" customWidth="1"/>
    <col min="6399" max="6399" width="9.140625" style="41" customWidth="1"/>
    <col min="6400" max="6400" width="7.28515625" style="41" customWidth="1"/>
    <col min="6401" max="6401" width="6.7109375" style="41" customWidth="1"/>
    <col min="6402" max="6402" width="7.5703125" style="41" customWidth="1"/>
    <col min="6403" max="6403" width="8.140625" style="41" customWidth="1"/>
    <col min="6404" max="6404" width="7.42578125" style="41" customWidth="1"/>
    <col min="6405" max="6405" width="14" style="41" customWidth="1"/>
    <col min="6406" max="6406" width="14" style="41" bestFit="1" customWidth="1"/>
    <col min="6407" max="6407" width="15" style="41" bestFit="1" customWidth="1"/>
    <col min="6408" max="6408" width="9.140625" style="41"/>
    <col min="6409" max="6409" width="10.85546875" style="41" bestFit="1" customWidth="1"/>
    <col min="6410" max="6650" width="9.140625" style="41"/>
    <col min="6651" max="6651" width="11.7109375" style="41" customWidth="1"/>
    <col min="6652" max="6652" width="38.28515625" style="41" customWidth="1"/>
    <col min="6653" max="6653" width="15" style="41" bestFit="1" customWidth="1"/>
    <col min="6654" max="6654" width="7.140625" style="41" customWidth="1"/>
    <col min="6655" max="6655" width="9.140625" style="41" customWidth="1"/>
    <col min="6656" max="6656" width="7.28515625" style="41" customWidth="1"/>
    <col min="6657" max="6657" width="6.7109375" style="41" customWidth="1"/>
    <col min="6658" max="6658" width="7.5703125" style="41" customWidth="1"/>
    <col min="6659" max="6659" width="8.140625" style="41" customWidth="1"/>
    <col min="6660" max="6660" width="7.42578125" style="41" customWidth="1"/>
    <col min="6661" max="6661" width="14" style="41" customWidth="1"/>
    <col min="6662" max="6662" width="14" style="41" bestFit="1" customWidth="1"/>
    <col min="6663" max="6663" width="15" style="41" bestFit="1" customWidth="1"/>
    <col min="6664" max="6664" width="9.140625" style="41"/>
    <col min="6665" max="6665" width="10.85546875" style="41" bestFit="1" customWidth="1"/>
    <col min="6666" max="6906" width="9.140625" style="41"/>
    <col min="6907" max="6907" width="11.7109375" style="41" customWidth="1"/>
    <col min="6908" max="6908" width="38.28515625" style="41" customWidth="1"/>
    <col min="6909" max="6909" width="15" style="41" bestFit="1" customWidth="1"/>
    <col min="6910" max="6910" width="7.140625" style="41" customWidth="1"/>
    <col min="6911" max="6911" width="9.140625" style="41" customWidth="1"/>
    <col min="6912" max="6912" width="7.28515625" style="41" customWidth="1"/>
    <col min="6913" max="6913" width="6.7109375" style="41" customWidth="1"/>
    <col min="6914" max="6914" width="7.5703125" style="41" customWidth="1"/>
    <col min="6915" max="6915" width="8.140625" style="41" customWidth="1"/>
    <col min="6916" max="6916" width="7.42578125" style="41" customWidth="1"/>
    <col min="6917" max="6917" width="14" style="41" customWidth="1"/>
    <col min="6918" max="6918" width="14" style="41" bestFit="1" customWidth="1"/>
    <col min="6919" max="6919" width="15" style="41" bestFit="1" customWidth="1"/>
    <col min="6920" max="6920" width="9.140625" style="41"/>
    <col min="6921" max="6921" width="10.85546875" style="41" bestFit="1" customWidth="1"/>
    <col min="6922" max="7162" width="9.140625" style="41"/>
    <col min="7163" max="7163" width="11.7109375" style="41" customWidth="1"/>
    <col min="7164" max="7164" width="38.28515625" style="41" customWidth="1"/>
    <col min="7165" max="7165" width="15" style="41" bestFit="1" customWidth="1"/>
    <col min="7166" max="7166" width="7.140625" style="41" customWidth="1"/>
    <col min="7167" max="7167" width="9.140625" style="41" customWidth="1"/>
    <col min="7168" max="7168" width="7.28515625" style="41" customWidth="1"/>
    <col min="7169" max="7169" width="6.7109375" style="41" customWidth="1"/>
    <col min="7170" max="7170" width="7.5703125" style="41" customWidth="1"/>
    <col min="7171" max="7171" width="8.140625" style="41" customWidth="1"/>
    <col min="7172" max="7172" width="7.42578125" style="41" customWidth="1"/>
    <col min="7173" max="7173" width="14" style="41" customWidth="1"/>
    <col min="7174" max="7174" width="14" style="41" bestFit="1" customWidth="1"/>
    <col min="7175" max="7175" width="15" style="41" bestFit="1" customWidth="1"/>
    <col min="7176" max="7176" width="9.140625" style="41"/>
    <col min="7177" max="7177" width="10.85546875" style="41" bestFit="1" customWidth="1"/>
    <col min="7178" max="7418" width="9.140625" style="41"/>
    <col min="7419" max="7419" width="11.7109375" style="41" customWidth="1"/>
    <col min="7420" max="7420" width="38.28515625" style="41" customWidth="1"/>
    <col min="7421" max="7421" width="15" style="41" bestFit="1" customWidth="1"/>
    <col min="7422" max="7422" width="7.140625" style="41" customWidth="1"/>
    <col min="7423" max="7423" width="9.140625" style="41" customWidth="1"/>
    <col min="7424" max="7424" width="7.28515625" style="41" customWidth="1"/>
    <col min="7425" max="7425" width="6.7109375" style="41" customWidth="1"/>
    <col min="7426" max="7426" width="7.5703125" style="41" customWidth="1"/>
    <col min="7427" max="7427" width="8.140625" style="41" customWidth="1"/>
    <col min="7428" max="7428" width="7.42578125" style="41" customWidth="1"/>
    <col min="7429" max="7429" width="14" style="41" customWidth="1"/>
    <col min="7430" max="7430" width="14" style="41" bestFit="1" customWidth="1"/>
    <col min="7431" max="7431" width="15" style="41" bestFit="1" customWidth="1"/>
    <col min="7432" max="7432" width="9.140625" style="41"/>
    <col min="7433" max="7433" width="10.85546875" style="41" bestFit="1" customWidth="1"/>
    <col min="7434" max="7674" width="9.140625" style="41"/>
    <col min="7675" max="7675" width="11.7109375" style="41" customWidth="1"/>
    <col min="7676" max="7676" width="38.28515625" style="41" customWidth="1"/>
    <col min="7677" max="7677" width="15" style="41" bestFit="1" customWidth="1"/>
    <col min="7678" max="7678" width="7.140625" style="41" customWidth="1"/>
    <col min="7679" max="7679" width="9.140625" style="41" customWidth="1"/>
    <col min="7680" max="7680" width="7.28515625" style="41" customWidth="1"/>
    <col min="7681" max="7681" width="6.7109375" style="41" customWidth="1"/>
    <col min="7682" max="7682" width="7.5703125" style="41" customWidth="1"/>
    <col min="7683" max="7683" width="8.140625" style="41" customWidth="1"/>
    <col min="7684" max="7684" width="7.42578125" style="41" customWidth="1"/>
    <col min="7685" max="7685" width="14" style="41" customWidth="1"/>
    <col min="7686" max="7686" width="14" style="41" bestFit="1" customWidth="1"/>
    <col min="7687" max="7687" width="15" style="41" bestFit="1" customWidth="1"/>
    <col min="7688" max="7688" width="9.140625" style="41"/>
    <col min="7689" max="7689" width="10.85546875" style="41" bestFit="1" customWidth="1"/>
    <col min="7690" max="7930" width="9.140625" style="41"/>
    <col min="7931" max="7931" width="11.7109375" style="41" customWidth="1"/>
    <col min="7932" max="7932" width="38.28515625" style="41" customWidth="1"/>
    <col min="7933" max="7933" width="15" style="41" bestFit="1" customWidth="1"/>
    <col min="7934" max="7934" width="7.140625" style="41" customWidth="1"/>
    <col min="7935" max="7935" width="9.140625" style="41" customWidth="1"/>
    <col min="7936" max="7936" width="7.28515625" style="41" customWidth="1"/>
    <col min="7937" max="7937" width="6.7109375" style="41" customWidth="1"/>
    <col min="7938" max="7938" width="7.5703125" style="41" customWidth="1"/>
    <col min="7939" max="7939" width="8.140625" style="41" customWidth="1"/>
    <col min="7940" max="7940" width="7.42578125" style="41" customWidth="1"/>
    <col min="7941" max="7941" width="14" style="41" customWidth="1"/>
    <col min="7942" max="7942" width="14" style="41" bestFit="1" customWidth="1"/>
    <col min="7943" max="7943" width="15" style="41" bestFit="1" customWidth="1"/>
    <col min="7944" max="7944" width="9.140625" style="41"/>
    <col min="7945" max="7945" width="10.85546875" style="41" bestFit="1" customWidth="1"/>
    <col min="7946" max="8186" width="9.140625" style="41"/>
    <col min="8187" max="8187" width="11.7109375" style="41" customWidth="1"/>
    <col min="8188" max="8188" width="38.28515625" style="41" customWidth="1"/>
    <col min="8189" max="8189" width="15" style="41" bestFit="1" customWidth="1"/>
    <col min="8190" max="8190" width="7.140625" style="41" customWidth="1"/>
    <col min="8191" max="8191" width="9.140625" style="41" customWidth="1"/>
    <col min="8192" max="8192" width="7.28515625" style="41" customWidth="1"/>
    <col min="8193" max="8193" width="6.7109375" style="41" customWidth="1"/>
    <col min="8194" max="8194" width="7.5703125" style="41" customWidth="1"/>
    <col min="8195" max="8195" width="8.140625" style="41" customWidth="1"/>
    <col min="8196" max="8196" width="7.42578125" style="41" customWidth="1"/>
    <col min="8197" max="8197" width="14" style="41" customWidth="1"/>
    <col min="8198" max="8198" width="14" style="41" bestFit="1" customWidth="1"/>
    <col min="8199" max="8199" width="15" style="41" bestFit="1" customWidth="1"/>
    <col min="8200" max="8200" width="9.140625" style="41"/>
    <col min="8201" max="8201" width="10.85546875" style="41" bestFit="1" customWidth="1"/>
    <col min="8202" max="8442" width="9.140625" style="41"/>
    <col min="8443" max="8443" width="11.7109375" style="41" customWidth="1"/>
    <col min="8444" max="8444" width="38.28515625" style="41" customWidth="1"/>
    <col min="8445" max="8445" width="15" style="41" bestFit="1" customWidth="1"/>
    <col min="8446" max="8446" width="7.140625" style="41" customWidth="1"/>
    <col min="8447" max="8447" width="9.140625" style="41" customWidth="1"/>
    <col min="8448" max="8448" width="7.28515625" style="41" customWidth="1"/>
    <col min="8449" max="8449" width="6.7109375" style="41" customWidth="1"/>
    <col min="8450" max="8450" width="7.5703125" style="41" customWidth="1"/>
    <col min="8451" max="8451" width="8.140625" style="41" customWidth="1"/>
    <col min="8452" max="8452" width="7.42578125" style="41" customWidth="1"/>
    <col min="8453" max="8453" width="14" style="41" customWidth="1"/>
    <col min="8454" max="8454" width="14" style="41" bestFit="1" customWidth="1"/>
    <col min="8455" max="8455" width="15" style="41" bestFit="1" customWidth="1"/>
    <col min="8456" max="8456" width="9.140625" style="41"/>
    <col min="8457" max="8457" width="10.85546875" style="41" bestFit="1" customWidth="1"/>
    <col min="8458" max="8698" width="9.140625" style="41"/>
    <col min="8699" max="8699" width="11.7109375" style="41" customWidth="1"/>
    <col min="8700" max="8700" width="38.28515625" style="41" customWidth="1"/>
    <col min="8701" max="8701" width="15" style="41" bestFit="1" customWidth="1"/>
    <col min="8702" max="8702" width="7.140625" style="41" customWidth="1"/>
    <col min="8703" max="8703" width="9.140625" style="41" customWidth="1"/>
    <col min="8704" max="8704" width="7.28515625" style="41" customWidth="1"/>
    <col min="8705" max="8705" width="6.7109375" style="41" customWidth="1"/>
    <col min="8706" max="8706" width="7.5703125" style="41" customWidth="1"/>
    <col min="8707" max="8707" width="8.140625" style="41" customWidth="1"/>
    <col min="8708" max="8708" width="7.42578125" style="41" customWidth="1"/>
    <col min="8709" max="8709" width="14" style="41" customWidth="1"/>
    <col min="8710" max="8710" width="14" style="41" bestFit="1" customWidth="1"/>
    <col min="8711" max="8711" width="15" style="41" bestFit="1" customWidth="1"/>
    <col min="8712" max="8712" width="9.140625" style="41"/>
    <col min="8713" max="8713" width="10.85546875" style="41" bestFit="1" customWidth="1"/>
    <col min="8714" max="8954" width="9.140625" style="41"/>
    <col min="8955" max="8955" width="11.7109375" style="41" customWidth="1"/>
    <col min="8956" max="8956" width="38.28515625" style="41" customWidth="1"/>
    <col min="8957" max="8957" width="15" style="41" bestFit="1" customWidth="1"/>
    <col min="8958" max="8958" width="7.140625" style="41" customWidth="1"/>
    <col min="8959" max="8959" width="9.140625" style="41" customWidth="1"/>
    <col min="8960" max="8960" width="7.28515625" style="41" customWidth="1"/>
    <col min="8961" max="8961" width="6.7109375" style="41" customWidth="1"/>
    <col min="8962" max="8962" width="7.5703125" style="41" customWidth="1"/>
    <col min="8963" max="8963" width="8.140625" style="41" customWidth="1"/>
    <col min="8964" max="8964" width="7.42578125" style="41" customWidth="1"/>
    <col min="8965" max="8965" width="14" style="41" customWidth="1"/>
    <col min="8966" max="8966" width="14" style="41" bestFit="1" customWidth="1"/>
    <col min="8967" max="8967" width="15" style="41" bestFit="1" customWidth="1"/>
    <col min="8968" max="8968" width="9.140625" style="41"/>
    <col min="8969" max="8969" width="10.85546875" style="41" bestFit="1" customWidth="1"/>
    <col min="8970" max="9210" width="9.140625" style="41"/>
    <col min="9211" max="9211" width="11.7109375" style="41" customWidth="1"/>
    <col min="9212" max="9212" width="38.28515625" style="41" customWidth="1"/>
    <col min="9213" max="9213" width="15" style="41" bestFit="1" customWidth="1"/>
    <col min="9214" max="9214" width="7.140625" style="41" customWidth="1"/>
    <col min="9215" max="9215" width="9.140625" style="41" customWidth="1"/>
    <col min="9216" max="9216" width="7.28515625" style="41" customWidth="1"/>
    <col min="9217" max="9217" width="6.7109375" style="41" customWidth="1"/>
    <col min="9218" max="9218" width="7.5703125" style="41" customWidth="1"/>
    <col min="9219" max="9219" width="8.140625" style="41" customWidth="1"/>
    <col min="9220" max="9220" width="7.42578125" style="41" customWidth="1"/>
    <col min="9221" max="9221" width="14" style="41" customWidth="1"/>
    <col min="9222" max="9222" width="14" style="41" bestFit="1" customWidth="1"/>
    <col min="9223" max="9223" width="15" style="41" bestFit="1" customWidth="1"/>
    <col min="9224" max="9224" width="9.140625" style="41"/>
    <col min="9225" max="9225" width="10.85546875" style="41" bestFit="1" customWidth="1"/>
    <col min="9226" max="9466" width="9.140625" style="41"/>
    <col min="9467" max="9467" width="11.7109375" style="41" customWidth="1"/>
    <col min="9468" max="9468" width="38.28515625" style="41" customWidth="1"/>
    <col min="9469" max="9469" width="15" style="41" bestFit="1" customWidth="1"/>
    <col min="9470" max="9470" width="7.140625" style="41" customWidth="1"/>
    <col min="9471" max="9471" width="9.140625" style="41" customWidth="1"/>
    <col min="9472" max="9472" width="7.28515625" style="41" customWidth="1"/>
    <col min="9473" max="9473" width="6.7109375" style="41" customWidth="1"/>
    <col min="9474" max="9474" width="7.5703125" style="41" customWidth="1"/>
    <col min="9475" max="9475" width="8.140625" style="41" customWidth="1"/>
    <col min="9476" max="9476" width="7.42578125" style="41" customWidth="1"/>
    <col min="9477" max="9477" width="14" style="41" customWidth="1"/>
    <col min="9478" max="9478" width="14" style="41" bestFit="1" customWidth="1"/>
    <col min="9479" max="9479" width="15" style="41" bestFit="1" customWidth="1"/>
    <col min="9480" max="9480" width="9.140625" style="41"/>
    <col min="9481" max="9481" width="10.85546875" style="41" bestFit="1" customWidth="1"/>
    <col min="9482" max="9722" width="9.140625" style="41"/>
    <col min="9723" max="9723" width="11.7109375" style="41" customWidth="1"/>
    <col min="9724" max="9724" width="38.28515625" style="41" customWidth="1"/>
    <col min="9725" max="9725" width="15" style="41" bestFit="1" customWidth="1"/>
    <col min="9726" max="9726" width="7.140625" style="41" customWidth="1"/>
    <col min="9727" max="9727" width="9.140625" style="41" customWidth="1"/>
    <col min="9728" max="9728" width="7.28515625" style="41" customWidth="1"/>
    <col min="9729" max="9729" width="6.7109375" style="41" customWidth="1"/>
    <col min="9730" max="9730" width="7.5703125" style="41" customWidth="1"/>
    <col min="9731" max="9731" width="8.140625" style="41" customWidth="1"/>
    <col min="9732" max="9732" width="7.42578125" style="41" customWidth="1"/>
    <col min="9733" max="9733" width="14" style="41" customWidth="1"/>
    <col min="9734" max="9734" width="14" style="41" bestFit="1" customWidth="1"/>
    <col min="9735" max="9735" width="15" style="41" bestFit="1" customWidth="1"/>
    <col min="9736" max="9736" width="9.140625" style="41"/>
    <col min="9737" max="9737" width="10.85546875" style="41" bestFit="1" customWidth="1"/>
    <col min="9738" max="9978" width="9.140625" style="41"/>
    <col min="9979" max="9979" width="11.7109375" style="41" customWidth="1"/>
    <col min="9980" max="9980" width="38.28515625" style="41" customWidth="1"/>
    <col min="9981" max="9981" width="15" style="41" bestFit="1" customWidth="1"/>
    <col min="9982" max="9982" width="7.140625" style="41" customWidth="1"/>
    <col min="9983" max="9983" width="9.140625" style="41" customWidth="1"/>
    <col min="9984" max="9984" width="7.28515625" style="41" customWidth="1"/>
    <col min="9985" max="9985" width="6.7109375" style="41" customWidth="1"/>
    <col min="9986" max="9986" width="7.5703125" style="41" customWidth="1"/>
    <col min="9987" max="9987" width="8.140625" style="41" customWidth="1"/>
    <col min="9988" max="9988" width="7.42578125" style="41" customWidth="1"/>
    <col min="9989" max="9989" width="14" style="41" customWidth="1"/>
    <col min="9990" max="9990" width="14" style="41" bestFit="1" customWidth="1"/>
    <col min="9991" max="9991" width="15" style="41" bestFit="1" customWidth="1"/>
    <col min="9992" max="9992" width="9.140625" style="41"/>
    <col min="9993" max="9993" width="10.85546875" style="41" bestFit="1" customWidth="1"/>
    <col min="9994" max="10234" width="9.140625" style="41"/>
    <col min="10235" max="10235" width="11.7109375" style="41" customWidth="1"/>
    <col min="10236" max="10236" width="38.28515625" style="41" customWidth="1"/>
    <col min="10237" max="10237" width="15" style="41" bestFit="1" customWidth="1"/>
    <col min="10238" max="10238" width="7.140625" style="41" customWidth="1"/>
    <col min="10239" max="10239" width="9.140625" style="41" customWidth="1"/>
    <col min="10240" max="10240" width="7.28515625" style="41" customWidth="1"/>
    <col min="10241" max="10241" width="6.7109375" style="41" customWidth="1"/>
    <col min="10242" max="10242" width="7.5703125" style="41" customWidth="1"/>
    <col min="10243" max="10243" width="8.140625" style="41" customWidth="1"/>
    <col min="10244" max="10244" width="7.42578125" style="41" customWidth="1"/>
    <col min="10245" max="10245" width="14" style="41" customWidth="1"/>
    <col min="10246" max="10246" width="14" style="41" bestFit="1" customWidth="1"/>
    <col min="10247" max="10247" width="15" style="41" bestFit="1" customWidth="1"/>
    <col min="10248" max="10248" width="9.140625" style="41"/>
    <col min="10249" max="10249" width="10.85546875" style="41" bestFit="1" customWidth="1"/>
    <col min="10250" max="10490" width="9.140625" style="41"/>
    <col min="10491" max="10491" width="11.7109375" style="41" customWidth="1"/>
    <col min="10492" max="10492" width="38.28515625" style="41" customWidth="1"/>
    <col min="10493" max="10493" width="15" style="41" bestFit="1" customWidth="1"/>
    <col min="10494" max="10494" width="7.140625" style="41" customWidth="1"/>
    <col min="10495" max="10495" width="9.140625" style="41" customWidth="1"/>
    <col min="10496" max="10496" width="7.28515625" style="41" customWidth="1"/>
    <col min="10497" max="10497" width="6.7109375" style="41" customWidth="1"/>
    <col min="10498" max="10498" width="7.5703125" style="41" customWidth="1"/>
    <col min="10499" max="10499" width="8.140625" style="41" customWidth="1"/>
    <col min="10500" max="10500" width="7.42578125" style="41" customWidth="1"/>
    <col min="10501" max="10501" width="14" style="41" customWidth="1"/>
    <col min="10502" max="10502" width="14" style="41" bestFit="1" customWidth="1"/>
    <col min="10503" max="10503" width="15" style="41" bestFit="1" customWidth="1"/>
    <col min="10504" max="10504" width="9.140625" style="41"/>
    <col min="10505" max="10505" width="10.85546875" style="41" bestFit="1" customWidth="1"/>
    <col min="10506" max="10746" width="9.140625" style="41"/>
    <col min="10747" max="10747" width="11.7109375" style="41" customWidth="1"/>
    <col min="10748" max="10748" width="38.28515625" style="41" customWidth="1"/>
    <col min="10749" max="10749" width="15" style="41" bestFit="1" customWidth="1"/>
    <col min="10750" max="10750" width="7.140625" style="41" customWidth="1"/>
    <col min="10751" max="10751" width="9.140625" style="41" customWidth="1"/>
    <col min="10752" max="10752" width="7.28515625" style="41" customWidth="1"/>
    <col min="10753" max="10753" width="6.7109375" style="41" customWidth="1"/>
    <col min="10754" max="10754" width="7.5703125" style="41" customWidth="1"/>
    <col min="10755" max="10755" width="8.140625" style="41" customWidth="1"/>
    <col min="10756" max="10756" width="7.42578125" style="41" customWidth="1"/>
    <col min="10757" max="10757" width="14" style="41" customWidth="1"/>
    <col min="10758" max="10758" width="14" style="41" bestFit="1" customWidth="1"/>
    <col min="10759" max="10759" width="15" style="41" bestFit="1" customWidth="1"/>
    <col min="10760" max="10760" width="9.140625" style="41"/>
    <col min="10761" max="10761" width="10.85546875" style="41" bestFit="1" customWidth="1"/>
    <col min="10762" max="11002" width="9.140625" style="41"/>
    <col min="11003" max="11003" width="11.7109375" style="41" customWidth="1"/>
    <col min="11004" max="11004" width="38.28515625" style="41" customWidth="1"/>
    <col min="11005" max="11005" width="15" style="41" bestFit="1" customWidth="1"/>
    <col min="11006" max="11006" width="7.140625" style="41" customWidth="1"/>
    <col min="11007" max="11007" width="9.140625" style="41" customWidth="1"/>
    <col min="11008" max="11008" width="7.28515625" style="41" customWidth="1"/>
    <col min="11009" max="11009" width="6.7109375" style="41" customWidth="1"/>
    <col min="11010" max="11010" width="7.5703125" style="41" customWidth="1"/>
    <col min="11011" max="11011" width="8.140625" style="41" customWidth="1"/>
    <col min="11012" max="11012" width="7.42578125" style="41" customWidth="1"/>
    <col min="11013" max="11013" width="14" style="41" customWidth="1"/>
    <col min="11014" max="11014" width="14" style="41" bestFit="1" customWidth="1"/>
    <col min="11015" max="11015" width="15" style="41" bestFit="1" customWidth="1"/>
    <col min="11016" max="11016" width="9.140625" style="41"/>
    <col min="11017" max="11017" width="10.85546875" style="41" bestFit="1" customWidth="1"/>
    <col min="11018" max="11258" width="9.140625" style="41"/>
    <col min="11259" max="11259" width="11.7109375" style="41" customWidth="1"/>
    <col min="11260" max="11260" width="38.28515625" style="41" customWidth="1"/>
    <col min="11261" max="11261" width="15" style="41" bestFit="1" customWidth="1"/>
    <col min="11262" max="11262" width="7.140625" style="41" customWidth="1"/>
    <col min="11263" max="11263" width="9.140625" style="41" customWidth="1"/>
    <col min="11264" max="11264" width="7.28515625" style="41" customWidth="1"/>
    <col min="11265" max="11265" width="6.7109375" style="41" customWidth="1"/>
    <col min="11266" max="11266" width="7.5703125" style="41" customWidth="1"/>
    <col min="11267" max="11267" width="8.140625" style="41" customWidth="1"/>
    <col min="11268" max="11268" width="7.42578125" style="41" customWidth="1"/>
    <col min="11269" max="11269" width="14" style="41" customWidth="1"/>
    <col min="11270" max="11270" width="14" style="41" bestFit="1" customWidth="1"/>
    <col min="11271" max="11271" width="15" style="41" bestFit="1" customWidth="1"/>
    <col min="11272" max="11272" width="9.140625" style="41"/>
    <col min="11273" max="11273" width="10.85546875" style="41" bestFit="1" customWidth="1"/>
    <col min="11274" max="11514" width="9.140625" style="41"/>
    <col min="11515" max="11515" width="11.7109375" style="41" customWidth="1"/>
    <col min="11516" max="11516" width="38.28515625" style="41" customWidth="1"/>
    <col min="11517" max="11517" width="15" style="41" bestFit="1" customWidth="1"/>
    <col min="11518" max="11518" width="7.140625" style="41" customWidth="1"/>
    <col min="11519" max="11519" width="9.140625" style="41" customWidth="1"/>
    <col min="11520" max="11520" width="7.28515625" style="41" customWidth="1"/>
    <col min="11521" max="11521" width="6.7109375" style="41" customWidth="1"/>
    <col min="11522" max="11522" width="7.5703125" style="41" customWidth="1"/>
    <col min="11523" max="11523" width="8.140625" style="41" customWidth="1"/>
    <col min="11524" max="11524" width="7.42578125" style="41" customWidth="1"/>
    <col min="11525" max="11525" width="14" style="41" customWidth="1"/>
    <col min="11526" max="11526" width="14" style="41" bestFit="1" customWidth="1"/>
    <col min="11527" max="11527" width="15" style="41" bestFit="1" customWidth="1"/>
    <col min="11528" max="11528" width="9.140625" style="41"/>
    <col min="11529" max="11529" width="10.85546875" style="41" bestFit="1" customWidth="1"/>
    <col min="11530" max="11770" width="9.140625" style="41"/>
    <col min="11771" max="11771" width="11.7109375" style="41" customWidth="1"/>
    <col min="11772" max="11772" width="38.28515625" style="41" customWidth="1"/>
    <col min="11773" max="11773" width="15" style="41" bestFit="1" customWidth="1"/>
    <col min="11774" max="11774" width="7.140625" style="41" customWidth="1"/>
    <col min="11775" max="11775" width="9.140625" style="41" customWidth="1"/>
    <col min="11776" max="11776" width="7.28515625" style="41" customWidth="1"/>
    <col min="11777" max="11777" width="6.7109375" style="41" customWidth="1"/>
    <col min="11778" max="11778" width="7.5703125" style="41" customWidth="1"/>
    <col min="11779" max="11779" width="8.140625" style="41" customWidth="1"/>
    <col min="11780" max="11780" width="7.42578125" style="41" customWidth="1"/>
    <col min="11781" max="11781" width="14" style="41" customWidth="1"/>
    <col min="11782" max="11782" width="14" style="41" bestFit="1" customWidth="1"/>
    <col min="11783" max="11783" width="15" style="41" bestFit="1" customWidth="1"/>
    <col min="11784" max="11784" width="9.140625" style="41"/>
    <col min="11785" max="11785" width="10.85546875" style="41" bestFit="1" customWidth="1"/>
    <col min="11786" max="12026" width="9.140625" style="41"/>
    <col min="12027" max="12027" width="11.7109375" style="41" customWidth="1"/>
    <col min="12028" max="12028" width="38.28515625" style="41" customWidth="1"/>
    <col min="12029" max="12029" width="15" style="41" bestFit="1" customWidth="1"/>
    <col min="12030" max="12030" width="7.140625" style="41" customWidth="1"/>
    <col min="12031" max="12031" width="9.140625" style="41" customWidth="1"/>
    <col min="12032" max="12032" width="7.28515625" style="41" customWidth="1"/>
    <col min="12033" max="12033" width="6.7109375" style="41" customWidth="1"/>
    <col min="12034" max="12034" width="7.5703125" style="41" customWidth="1"/>
    <col min="12035" max="12035" width="8.140625" style="41" customWidth="1"/>
    <col min="12036" max="12036" width="7.42578125" style="41" customWidth="1"/>
    <col min="12037" max="12037" width="14" style="41" customWidth="1"/>
    <col min="12038" max="12038" width="14" style="41" bestFit="1" customWidth="1"/>
    <col min="12039" max="12039" width="15" style="41" bestFit="1" customWidth="1"/>
    <col min="12040" max="12040" width="9.140625" style="41"/>
    <col min="12041" max="12041" width="10.85546875" style="41" bestFit="1" customWidth="1"/>
    <col min="12042" max="12282" width="9.140625" style="41"/>
    <col min="12283" max="12283" width="11.7109375" style="41" customWidth="1"/>
    <col min="12284" max="12284" width="38.28515625" style="41" customWidth="1"/>
    <col min="12285" max="12285" width="15" style="41" bestFit="1" customWidth="1"/>
    <col min="12286" max="12286" width="7.140625" style="41" customWidth="1"/>
    <col min="12287" max="12287" width="9.140625" style="41" customWidth="1"/>
    <col min="12288" max="12288" width="7.28515625" style="41" customWidth="1"/>
    <col min="12289" max="12289" width="6.7109375" style="41" customWidth="1"/>
    <col min="12290" max="12290" width="7.5703125" style="41" customWidth="1"/>
    <col min="12291" max="12291" width="8.140625" style="41" customWidth="1"/>
    <col min="12292" max="12292" width="7.42578125" style="41" customWidth="1"/>
    <col min="12293" max="12293" width="14" style="41" customWidth="1"/>
    <col min="12294" max="12294" width="14" style="41" bestFit="1" customWidth="1"/>
    <col min="12295" max="12295" width="15" style="41" bestFit="1" customWidth="1"/>
    <col min="12296" max="12296" width="9.140625" style="41"/>
    <col min="12297" max="12297" width="10.85546875" style="41" bestFit="1" customWidth="1"/>
    <col min="12298" max="12538" width="9.140625" style="41"/>
    <col min="12539" max="12539" width="11.7109375" style="41" customWidth="1"/>
    <col min="12540" max="12540" width="38.28515625" style="41" customWidth="1"/>
    <col min="12541" max="12541" width="15" style="41" bestFit="1" customWidth="1"/>
    <col min="12542" max="12542" width="7.140625" style="41" customWidth="1"/>
    <col min="12543" max="12543" width="9.140625" style="41" customWidth="1"/>
    <col min="12544" max="12544" width="7.28515625" style="41" customWidth="1"/>
    <col min="12545" max="12545" width="6.7109375" style="41" customWidth="1"/>
    <col min="12546" max="12546" width="7.5703125" style="41" customWidth="1"/>
    <col min="12547" max="12547" width="8.140625" style="41" customWidth="1"/>
    <col min="12548" max="12548" width="7.42578125" style="41" customWidth="1"/>
    <col min="12549" max="12549" width="14" style="41" customWidth="1"/>
    <col min="12550" max="12550" width="14" style="41" bestFit="1" customWidth="1"/>
    <col min="12551" max="12551" width="15" style="41" bestFit="1" customWidth="1"/>
    <col min="12552" max="12552" width="9.140625" style="41"/>
    <col min="12553" max="12553" width="10.85546875" style="41" bestFit="1" customWidth="1"/>
    <col min="12554" max="12794" width="9.140625" style="41"/>
    <col min="12795" max="12795" width="11.7109375" style="41" customWidth="1"/>
    <col min="12796" max="12796" width="38.28515625" style="41" customWidth="1"/>
    <col min="12797" max="12797" width="15" style="41" bestFit="1" customWidth="1"/>
    <col min="12798" max="12798" width="7.140625" style="41" customWidth="1"/>
    <col min="12799" max="12799" width="9.140625" style="41" customWidth="1"/>
    <col min="12800" max="12800" width="7.28515625" style="41" customWidth="1"/>
    <col min="12801" max="12801" width="6.7109375" style="41" customWidth="1"/>
    <col min="12802" max="12802" width="7.5703125" style="41" customWidth="1"/>
    <col min="12803" max="12803" width="8.140625" style="41" customWidth="1"/>
    <col min="12804" max="12804" width="7.42578125" style="41" customWidth="1"/>
    <col min="12805" max="12805" width="14" style="41" customWidth="1"/>
    <col min="12806" max="12806" width="14" style="41" bestFit="1" customWidth="1"/>
    <col min="12807" max="12807" width="15" style="41" bestFit="1" customWidth="1"/>
    <col min="12808" max="12808" width="9.140625" style="41"/>
    <col min="12809" max="12809" width="10.85546875" style="41" bestFit="1" customWidth="1"/>
    <col min="12810" max="13050" width="9.140625" style="41"/>
    <col min="13051" max="13051" width="11.7109375" style="41" customWidth="1"/>
    <col min="13052" max="13052" width="38.28515625" style="41" customWidth="1"/>
    <col min="13053" max="13053" width="15" style="41" bestFit="1" customWidth="1"/>
    <col min="13054" max="13054" width="7.140625" style="41" customWidth="1"/>
    <col min="13055" max="13055" width="9.140625" style="41" customWidth="1"/>
    <col min="13056" max="13056" width="7.28515625" style="41" customWidth="1"/>
    <col min="13057" max="13057" width="6.7109375" style="41" customWidth="1"/>
    <col min="13058" max="13058" width="7.5703125" style="41" customWidth="1"/>
    <col min="13059" max="13059" width="8.140625" style="41" customWidth="1"/>
    <col min="13060" max="13060" width="7.42578125" style="41" customWidth="1"/>
    <col min="13061" max="13061" width="14" style="41" customWidth="1"/>
    <col min="13062" max="13062" width="14" style="41" bestFit="1" customWidth="1"/>
    <col min="13063" max="13063" width="15" style="41" bestFit="1" customWidth="1"/>
    <col min="13064" max="13064" width="9.140625" style="41"/>
    <col min="13065" max="13065" width="10.85546875" style="41" bestFit="1" customWidth="1"/>
    <col min="13066" max="13306" width="9.140625" style="41"/>
    <col min="13307" max="13307" width="11.7109375" style="41" customWidth="1"/>
    <col min="13308" max="13308" width="38.28515625" style="41" customWidth="1"/>
    <col min="13309" max="13309" width="15" style="41" bestFit="1" customWidth="1"/>
    <col min="13310" max="13310" width="7.140625" style="41" customWidth="1"/>
    <col min="13311" max="13311" width="9.140625" style="41" customWidth="1"/>
    <col min="13312" max="13312" width="7.28515625" style="41" customWidth="1"/>
    <col min="13313" max="13313" width="6.7109375" style="41" customWidth="1"/>
    <col min="13314" max="13314" width="7.5703125" style="41" customWidth="1"/>
    <col min="13315" max="13315" width="8.140625" style="41" customWidth="1"/>
    <col min="13316" max="13316" width="7.42578125" style="41" customWidth="1"/>
    <col min="13317" max="13317" width="14" style="41" customWidth="1"/>
    <col min="13318" max="13318" width="14" style="41" bestFit="1" customWidth="1"/>
    <col min="13319" max="13319" width="15" style="41" bestFit="1" customWidth="1"/>
    <col min="13320" max="13320" width="9.140625" style="41"/>
    <col min="13321" max="13321" width="10.85546875" style="41" bestFit="1" customWidth="1"/>
    <col min="13322" max="13562" width="9.140625" style="41"/>
    <col min="13563" max="13563" width="11.7109375" style="41" customWidth="1"/>
    <col min="13564" max="13564" width="38.28515625" style="41" customWidth="1"/>
    <col min="13565" max="13565" width="15" style="41" bestFit="1" customWidth="1"/>
    <col min="13566" max="13566" width="7.140625" style="41" customWidth="1"/>
    <col min="13567" max="13567" width="9.140625" style="41" customWidth="1"/>
    <col min="13568" max="13568" width="7.28515625" style="41" customWidth="1"/>
    <col min="13569" max="13569" width="6.7109375" style="41" customWidth="1"/>
    <col min="13570" max="13570" width="7.5703125" style="41" customWidth="1"/>
    <col min="13571" max="13571" width="8.140625" style="41" customWidth="1"/>
    <col min="13572" max="13572" width="7.42578125" style="41" customWidth="1"/>
    <col min="13573" max="13573" width="14" style="41" customWidth="1"/>
    <col min="13574" max="13574" width="14" style="41" bestFit="1" customWidth="1"/>
    <col min="13575" max="13575" width="15" style="41" bestFit="1" customWidth="1"/>
    <col min="13576" max="13576" width="9.140625" style="41"/>
    <col min="13577" max="13577" width="10.85546875" style="41" bestFit="1" customWidth="1"/>
    <col min="13578" max="13818" width="9.140625" style="41"/>
    <col min="13819" max="13819" width="11.7109375" style="41" customWidth="1"/>
    <col min="13820" max="13820" width="38.28515625" style="41" customWidth="1"/>
    <col min="13821" max="13821" width="15" style="41" bestFit="1" customWidth="1"/>
    <col min="13822" max="13822" width="7.140625" style="41" customWidth="1"/>
    <col min="13823" max="13823" width="9.140625" style="41" customWidth="1"/>
    <col min="13824" max="13824" width="7.28515625" style="41" customWidth="1"/>
    <col min="13825" max="13825" width="6.7109375" style="41" customWidth="1"/>
    <col min="13826" max="13826" width="7.5703125" style="41" customWidth="1"/>
    <col min="13827" max="13827" width="8.140625" style="41" customWidth="1"/>
    <col min="13828" max="13828" width="7.42578125" style="41" customWidth="1"/>
    <col min="13829" max="13829" width="14" style="41" customWidth="1"/>
    <col min="13830" max="13830" width="14" style="41" bestFit="1" customWidth="1"/>
    <col min="13831" max="13831" width="15" style="41" bestFit="1" customWidth="1"/>
    <col min="13832" max="13832" width="9.140625" style="41"/>
    <col min="13833" max="13833" width="10.85546875" style="41" bestFit="1" customWidth="1"/>
    <col min="13834" max="14074" width="9.140625" style="41"/>
    <col min="14075" max="14075" width="11.7109375" style="41" customWidth="1"/>
    <col min="14076" max="14076" width="38.28515625" style="41" customWidth="1"/>
    <col min="14077" max="14077" width="15" style="41" bestFit="1" customWidth="1"/>
    <col min="14078" max="14078" width="7.140625" style="41" customWidth="1"/>
    <col min="14079" max="14079" width="9.140625" style="41" customWidth="1"/>
    <col min="14080" max="14080" width="7.28515625" style="41" customWidth="1"/>
    <col min="14081" max="14081" width="6.7109375" style="41" customWidth="1"/>
    <col min="14082" max="14082" width="7.5703125" style="41" customWidth="1"/>
    <col min="14083" max="14083" width="8.140625" style="41" customWidth="1"/>
    <col min="14084" max="14084" width="7.42578125" style="41" customWidth="1"/>
    <col min="14085" max="14085" width="14" style="41" customWidth="1"/>
    <col min="14086" max="14086" width="14" style="41" bestFit="1" customWidth="1"/>
    <col min="14087" max="14087" width="15" style="41" bestFit="1" customWidth="1"/>
    <col min="14088" max="14088" width="9.140625" style="41"/>
    <col min="14089" max="14089" width="10.85546875" style="41" bestFit="1" customWidth="1"/>
    <col min="14090" max="14330" width="9.140625" style="41"/>
    <col min="14331" max="14331" width="11.7109375" style="41" customWidth="1"/>
    <col min="14332" max="14332" width="38.28515625" style="41" customWidth="1"/>
    <col min="14333" max="14333" width="15" style="41" bestFit="1" customWidth="1"/>
    <col min="14334" max="14334" width="7.140625" style="41" customWidth="1"/>
    <col min="14335" max="14335" width="9.140625" style="41" customWidth="1"/>
    <col min="14336" max="14336" width="7.28515625" style="41" customWidth="1"/>
    <col min="14337" max="14337" width="6.7109375" style="41" customWidth="1"/>
    <col min="14338" max="14338" width="7.5703125" style="41" customWidth="1"/>
    <col min="14339" max="14339" width="8.140625" style="41" customWidth="1"/>
    <col min="14340" max="14340" width="7.42578125" style="41" customWidth="1"/>
    <col min="14341" max="14341" width="14" style="41" customWidth="1"/>
    <col min="14342" max="14342" width="14" style="41" bestFit="1" customWidth="1"/>
    <col min="14343" max="14343" width="15" style="41" bestFit="1" customWidth="1"/>
    <col min="14344" max="14344" width="9.140625" style="41"/>
    <col min="14345" max="14345" width="10.85546875" style="41" bestFit="1" customWidth="1"/>
    <col min="14346" max="14586" width="9.140625" style="41"/>
    <col min="14587" max="14587" width="11.7109375" style="41" customWidth="1"/>
    <col min="14588" max="14588" width="38.28515625" style="41" customWidth="1"/>
    <col min="14589" max="14589" width="15" style="41" bestFit="1" customWidth="1"/>
    <col min="14590" max="14590" width="7.140625" style="41" customWidth="1"/>
    <col min="14591" max="14591" width="9.140625" style="41" customWidth="1"/>
    <col min="14592" max="14592" width="7.28515625" style="41" customWidth="1"/>
    <col min="14593" max="14593" width="6.7109375" style="41" customWidth="1"/>
    <col min="14594" max="14594" width="7.5703125" style="41" customWidth="1"/>
    <col min="14595" max="14595" width="8.140625" style="41" customWidth="1"/>
    <col min="14596" max="14596" width="7.42578125" style="41" customWidth="1"/>
    <col min="14597" max="14597" width="14" style="41" customWidth="1"/>
    <col min="14598" max="14598" width="14" style="41" bestFit="1" customWidth="1"/>
    <col min="14599" max="14599" width="15" style="41" bestFit="1" customWidth="1"/>
    <col min="14600" max="14600" width="9.140625" style="41"/>
    <col min="14601" max="14601" width="10.85546875" style="41" bestFit="1" customWidth="1"/>
    <col min="14602" max="14842" width="9.140625" style="41"/>
    <col min="14843" max="14843" width="11.7109375" style="41" customWidth="1"/>
    <col min="14844" max="14844" width="38.28515625" style="41" customWidth="1"/>
    <col min="14845" max="14845" width="15" style="41" bestFit="1" customWidth="1"/>
    <col min="14846" max="14846" width="7.140625" style="41" customWidth="1"/>
    <col min="14847" max="14847" width="9.140625" style="41" customWidth="1"/>
    <col min="14848" max="14848" width="7.28515625" style="41" customWidth="1"/>
    <col min="14849" max="14849" width="6.7109375" style="41" customWidth="1"/>
    <col min="14850" max="14850" width="7.5703125" style="41" customWidth="1"/>
    <col min="14851" max="14851" width="8.140625" style="41" customWidth="1"/>
    <col min="14852" max="14852" width="7.42578125" style="41" customWidth="1"/>
    <col min="14853" max="14853" width="14" style="41" customWidth="1"/>
    <col min="14854" max="14854" width="14" style="41" bestFit="1" customWidth="1"/>
    <col min="14855" max="14855" width="15" style="41" bestFit="1" customWidth="1"/>
    <col min="14856" max="14856" width="9.140625" style="41"/>
    <col min="14857" max="14857" width="10.85546875" style="41" bestFit="1" customWidth="1"/>
    <col min="14858" max="15098" width="9.140625" style="41"/>
    <col min="15099" max="15099" width="11.7109375" style="41" customWidth="1"/>
    <col min="15100" max="15100" width="38.28515625" style="41" customWidth="1"/>
    <col min="15101" max="15101" width="15" style="41" bestFit="1" customWidth="1"/>
    <col min="15102" max="15102" width="7.140625" style="41" customWidth="1"/>
    <col min="15103" max="15103" width="9.140625" style="41" customWidth="1"/>
    <col min="15104" max="15104" width="7.28515625" style="41" customWidth="1"/>
    <col min="15105" max="15105" width="6.7109375" style="41" customWidth="1"/>
    <col min="15106" max="15106" width="7.5703125" style="41" customWidth="1"/>
    <col min="15107" max="15107" width="8.140625" style="41" customWidth="1"/>
    <col min="15108" max="15108" width="7.42578125" style="41" customWidth="1"/>
    <col min="15109" max="15109" width="14" style="41" customWidth="1"/>
    <col min="15110" max="15110" width="14" style="41" bestFit="1" customWidth="1"/>
    <col min="15111" max="15111" width="15" style="41" bestFit="1" customWidth="1"/>
    <col min="15112" max="15112" width="9.140625" style="41"/>
    <col min="15113" max="15113" width="10.85546875" style="41" bestFit="1" customWidth="1"/>
    <col min="15114" max="15354" width="9.140625" style="41"/>
    <col min="15355" max="15355" width="11.7109375" style="41" customWidth="1"/>
    <col min="15356" max="15356" width="38.28515625" style="41" customWidth="1"/>
    <col min="15357" max="15357" width="15" style="41" bestFit="1" customWidth="1"/>
    <col min="15358" max="15358" width="7.140625" style="41" customWidth="1"/>
    <col min="15359" max="15359" width="9.140625" style="41" customWidth="1"/>
    <col min="15360" max="15360" width="7.28515625" style="41" customWidth="1"/>
    <col min="15361" max="15361" width="6.7109375" style="41" customWidth="1"/>
    <col min="15362" max="15362" width="7.5703125" style="41" customWidth="1"/>
    <col min="15363" max="15363" width="8.140625" style="41" customWidth="1"/>
    <col min="15364" max="15364" width="7.42578125" style="41" customWidth="1"/>
    <col min="15365" max="15365" width="14" style="41" customWidth="1"/>
    <col min="15366" max="15366" width="14" style="41" bestFit="1" customWidth="1"/>
    <col min="15367" max="15367" width="15" style="41" bestFit="1" customWidth="1"/>
    <col min="15368" max="15368" width="9.140625" style="41"/>
    <col min="15369" max="15369" width="10.85546875" style="41" bestFit="1" customWidth="1"/>
    <col min="15370" max="15610" width="9.140625" style="41"/>
    <col min="15611" max="15611" width="11.7109375" style="41" customWidth="1"/>
    <col min="15612" max="15612" width="38.28515625" style="41" customWidth="1"/>
    <col min="15613" max="15613" width="15" style="41" bestFit="1" customWidth="1"/>
    <col min="15614" max="15614" width="7.140625" style="41" customWidth="1"/>
    <col min="15615" max="15615" width="9.140625" style="41" customWidth="1"/>
    <col min="15616" max="15616" width="7.28515625" style="41" customWidth="1"/>
    <col min="15617" max="15617" width="6.7109375" style="41" customWidth="1"/>
    <col min="15618" max="15618" width="7.5703125" style="41" customWidth="1"/>
    <col min="15619" max="15619" width="8.140625" style="41" customWidth="1"/>
    <col min="15620" max="15620" width="7.42578125" style="41" customWidth="1"/>
    <col min="15621" max="15621" width="14" style="41" customWidth="1"/>
    <col min="15622" max="15622" width="14" style="41" bestFit="1" customWidth="1"/>
    <col min="15623" max="15623" width="15" style="41" bestFit="1" customWidth="1"/>
    <col min="15624" max="15624" width="9.140625" style="41"/>
    <col min="15625" max="15625" width="10.85546875" style="41" bestFit="1" customWidth="1"/>
    <col min="15626" max="15866" width="9.140625" style="41"/>
    <col min="15867" max="15867" width="11.7109375" style="41" customWidth="1"/>
    <col min="15868" max="15868" width="38.28515625" style="41" customWidth="1"/>
    <col min="15869" max="15869" width="15" style="41" bestFit="1" customWidth="1"/>
    <col min="15870" max="15870" width="7.140625" style="41" customWidth="1"/>
    <col min="15871" max="15871" width="9.140625" style="41" customWidth="1"/>
    <col min="15872" max="15872" width="7.28515625" style="41" customWidth="1"/>
    <col min="15873" max="15873" width="6.7109375" style="41" customWidth="1"/>
    <col min="15874" max="15874" width="7.5703125" style="41" customWidth="1"/>
    <col min="15875" max="15875" width="8.140625" style="41" customWidth="1"/>
    <col min="15876" max="15876" width="7.42578125" style="41" customWidth="1"/>
    <col min="15877" max="15877" width="14" style="41" customWidth="1"/>
    <col min="15878" max="15878" width="14" style="41" bestFit="1" customWidth="1"/>
    <col min="15879" max="15879" width="15" style="41" bestFit="1" customWidth="1"/>
    <col min="15880" max="15880" width="9.140625" style="41"/>
    <col min="15881" max="15881" width="10.85546875" style="41" bestFit="1" customWidth="1"/>
    <col min="15882" max="16122" width="9.140625" style="41"/>
    <col min="16123" max="16123" width="11.7109375" style="41" customWidth="1"/>
    <col min="16124" max="16124" width="38.28515625" style="41" customWidth="1"/>
    <col min="16125" max="16125" width="15" style="41" bestFit="1" customWidth="1"/>
    <col min="16126" max="16126" width="7.140625" style="41" customWidth="1"/>
    <col min="16127" max="16127" width="9.140625" style="41" customWidth="1"/>
    <col min="16128" max="16128" width="7.28515625" style="41" customWidth="1"/>
    <col min="16129" max="16129" width="6.7109375" style="41" customWidth="1"/>
    <col min="16130" max="16130" width="7.5703125" style="41" customWidth="1"/>
    <col min="16131" max="16131" width="8.140625" style="41" customWidth="1"/>
    <col min="16132" max="16132" width="7.42578125" style="41" customWidth="1"/>
    <col min="16133" max="16133" width="14" style="41" customWidth="1"/>
    <col min="16134" max="16134" width="14" style="41" bestFit="1" customWidth="1"/>
    <col min="16135" max="16135" width="15" style="41" bestFit="1" customWidth="1"/>
    <col min="16136" max="16136" width="9.140625" style="41"/>
    <col min="16137" max="16137" width="10.85546875" style="41" bestFit="1" customWidth="1"/>
    <col min="16138" max="16384" width="9.140625" style="41"/>
  </cols>
  <sheetData>
    <row r="1" spans="1:51" s="30" customFormat="1" ht="22.5" x14ac:dyDescent="0.25">
      <c r="A1" s="29" t="s">
        <v>496</v>
      </c>
      <c r="C1" s="31"/>
      <c r="D1" s="32"/>
      <c r="E1" s="32"/>
      <c r="F1" s="32"/>
      <c r="G1" s="32"/>
      <c r="H1" s="31"/>
      <c r="I1" s="32"/>
      <c r="J1" s="32"/>
      <c r="K1" s="32"/>
      <c r="L1" s="32"/>
      <c r="M1" s="32"/>
      <c r="N1" s="32"/>
      <c r="O1" s="33"/>
      <c r="P1" s="33"/>
      <c r="Q1" s="33"/>
      <c r="R1" s="33"/>
      <c r="S1" s="33"/>
      <c r="T1" s="34"/>
      <c r="U1" s="34"/>
      <c r="V1" s="34"/>
      <c r="W1" s="35"/>
      <c r="X1" s="35"/>
      <c r="Y1" s="33"/>
      <c r="Z1" s="33"/>
      <c r="AY1" s="36"/>
    </row>
    <row r="2" spans="1:51" s="21" customFormat="1" x14ac:dyDescent="0.25">
      <c r="A2" s="21" t="s">
        <v>393</v>
      </c>
      <c r="B2" s="21" t="s">
        <v>190</v>
      </c>
      <c r="F2" s="246"/>
      <c r="G2" s="246"/>
      <c r="H2" s="442"/>
      <c r="I2" s="443"/>
    </row>
    <row r="3" spans="1:51" s="322" customFormat="1" ht="24.75" x14ac:dyDescent="0.5">
      <c r="A3" s="319" t="s">
        <v>181</v>
      </c>
      <c r="B3" s="320" t="s">
        <v>234</v>
      </c>
      <c r="C3" s="319"/>
      <c r="D3" s="321"/>
      <c r="E3" s="591"/>
      <c r="F3" s="323"/>
      <c r="G3" s="323"/>
      <c r="H3" s="444"/>
      <c r="I3" s="445"/>
    </row>
    <row r="4" spans="1:51" s="249" customFormat="1" ht="13.5" x14ac:dyDescent="0.25">
      <c r="A4" s="247" t="s">
        <v>180</v>
      </c>
      <c r="B4" s="247" t="s">
        <v>191</v>
      </c>
      <c r="C4" s="247"/>
      <c r="D4" s="248"/>
      <c r="F4" s="250"/>
      <c r="G4" s="250"/>
      <c r="H4" s="446"/>
      <c r="I4" s="447"/>
    </row>
    <row r="5" spans="1:51" s="249" customFormat="1" ht="13.5" x14ac:dyDescent="0.25">
      <c r="A5" s="247" t="s">
        <v>392</v>
      </c>
      <c r="B5" s="247"/>
      <c r="C5" s="247"/>
      <c r="D5" s="248"/>
      <c r="F5" s="250"/>
      <c r="G5" s="250"/>
      <c r="H5" s="446"/>
      <c r="I5" s="447"/>
    </row>
    <row r="6" spans="1:51" s="249" customFormat="1" ht="13.5" x14ac:dyDescent="0.25">
      <c r="A6" s="247" t="s">
        <v>221</v>
      </c>
      <c r="B6" s="251" t="s">
        <v>222</v>
      </c>
      <c r="C6" s="247"/>
      <c r="D6" s="248"/>
      <c r="F6" s="250"/>
      <c r="G6" s="250"/>
      <c r="H6" s="446"/>
      <c r="I6" s="447"/>
    </row>
    <row r="7" spans="1:51" s="2" customFormat="1" ht="14.25" thickBot="1" x14ac:dyDescent="0.3">
      <c r="A7" s="3"/>
      <c r="B7" s="6"/>
      <c r="C7" s="3"/>
      <c r="D7" s="4"/>
      <c r="E7" s="1"/>
      <c r="F7" s="5"/>
      <c r="G7" s="5"/>
      <c r="H7" s="446"/>
      <c r="I7" s="448"/>
    </row>
    <row r="8" spans="1:51" ht="13.5" thickBot="1" x14ac:dyDescent="0.3">
      <c r="A8" s="37" t="s">
        <v>134</v>
      </c>
      <c r="B8" s="38" t="s">
        <v>133</v>
      </c>
      <c r="C8" s="39" t="s">
        <v>132</v>
      </c>
      <c r="D8" s="39" t="s">
        <v>131</v>
      </c>
      <c r="E8" s="39" t="s">
        <v>130</v>
      </c>
      <c r="F8" s="40" t="s">
        <v>129</v>
      </c>
      <c r="G8" s="452"/>
    </row>
    <row r="9" spans="1:51" x14ac:dyDescent="0.25">
      <c r="A9" s="42">
        <v>1</v>
      </c>
      <c r="B9" s="43">
        <v>2</v>
      </c>
      <c r="C9" s="44">
        <v>3</v>
      </c>
      <c r="D9" s="44">
        <v>10</v>
      </c>
      <c r="E9" s="44">
        <v>11</v>
      </c>
      <c r="F9" s="45">
        <v>12</v>
      </c>
      <c r="G9" s="453"/>
    </row>
    <row r="10" spans="1:51" s="417" customFormat="1" x14ac:dyDescent="0.25">
      <c r="A10" s="252"/>
      <c r="B10" s="46"/>
      <c r="C10" s="253"/>
      <c r="D10" s="253"/>
      <c r="E10" s="254"/>
      <c r="F10" s="255"/>
      <c r="G10" s="454"/>
      <c r="H10" s="262"/>
      <c r="I10" s="260"/>
    </row>
    <row r="11" spans="1:51" s="262" customFormat="1" ht="12" x14ac:dyDescent="0.25">
      <c r="A11" s="256" t="s">
        <v>128</v>
      </c>
      <c r="B11" s="47" t="str">
        <f>'[1]3 SO00-všeobecné náklady'!C3</f>
        <v>SO 00 VŠEOBECNÉ NÁKLADY</v>
      </c>
      <c r="C11" s="257"/>
      <c r="D11" s="257"/>
      <c r="E11" s="258"/>
      <c r="F11" s="259"/>
      <c r="G11" s="455"/>
      <c r="I11" s="261"/>
    </row>
    <row r="12" spans="1:51" s="268" customFormat="1" ht="21" customHeight="1" thickBot="1" x14ac:dyDescent="0.3">
      <c r="A12" s="263" t="s">
        <v>127</v>
      </c>
      <c r="B12" s="51" t="s">
        <v>126</v>
      </c>
      <c r="C12" s="264">
        <f>SUM(C13:C21)</f>
        <v>0</v>
      </c>
      <c r="D12" s="264">
        <f>SUM(C12:C12)</f>
        <v>0</v>
      </c>
      <c r="E12" s="265">
        <f>D12*21%</f>
        <v>0</v>
      </c>
      <c r="F12" s="266">
        <f>D12+E12</f>
        <v>0</v>
      </c>
      <c r="G12" s="456"/>
      <c r="I12" s="267"/>
    </row>
    <row r="13" spans="1:51" s="588" customFormat="1" ht="24" x14ac:dyDescent="0.25">
      <c r="A13" s="458"/>
      <c r="B13" s="459" t="str">
        <f>'R_VÝSADBA STROMŮ A SOL. KEŘŮ'!B3</f>
        <v>1. VÝSADBA STROMŮ A SOLITÉRNÍCH KEŘŮ</v>
      </c>
      <c r="C13" s="460">
        <f>'R_VÝSADBA STROMŮ A SOL. KEŘŮ'!G41</f>
        <v>0</v>
      </c>
      <c r="D13" s="460">
        <f t="shared" ref="D13:D21" si="0">SUM(C13:C13)</f>
        <v>0</v>
      </c>
      <c r="E13" s="461">
        <f t="shared" ref="E13:E21" si="1">D13*21%</f>
        <v>0</v>
      </c>
      <c r="F13" s="462">
        <f>D13+E13</f>
        <v>0</v>
      </c>
      <c r="G13" s="455"/>
      <c r="H13" s="588" t="s">
        <v>451</v>
      </c>
      <c r="I13" s="589"/>
    </row>
    <row r="14" spans="1:51" s="588" customFormat="1" ht="24" x14ac:dyDescent="0.25">
      <c r="A14" s="256"/>
      <c r="B14" s="47" t="str">
        <f>'R_ZALOŽENÍ ZÁHONŮ_keře'!B3</f>
        <v>2. ZALOŽENÍ ZÁHONOVÝCH VÝSADEB</v>
      </c>
      <c r="C14" s="257">
        <f>'R_ZALOŽENÍ ZÁHONŮ_keře'!G29</f>
        <v>0</v>
      </c>
      <c r="D14" s="257">
        <f t="shared" si="0"/>
        <v>0</v>
      </c>
      <c r="E14" s="258">
        <f t="shared" si="1"/>
        <v>0</v>
      </c>
      <c r="F14" s="259">
        <f t="shared" ref="F14:F21" si="2">D14+E14</f>
        <v>0</v>
      </c>
      <c r="G14" s="455"/>
      <c r="H14" s="588" t="s">
        <v>451</v>
      </c>
      <c r="I14" s="589"/>
    </row>
    <row r="15" spans="1:51" s="588" customFormat="1" ht="24" x14ac:dyDescent="0.25">
      <c r="A15" s="256"/>
      <c r="B15" s="47" t="s">
        <v>493</v>
      </c>
      <c r="C15" s="257">
        <f>'R_ZALOŽENÍ ZÁHONŮtrvalková část'!G15</f>
        <v>0</v>
      </c>
      <c r="D15" s="257"/>
      <c r="E15" s="258"/>
      <c r="F15" s="259"/>
      <c r="G15" s="455"/>
      <c r="H15" s="588" t="s">
        <v>450</v>
      </c>
      <c r="I15" s="589"/>
    </row>
    <row r="16" spans="1:51" s="588" customFormat="1" ht="12" x14ac:dyDescent="0.25">
      <c r="A16" s="256"/>
      <c r="B16" s="47" t="str">
        <f>'R_KVĚTNATÁ LOUKA'!B3</f>
        <v>3. ZALOŽENÍ KVĚTNATÉ LOUKY</v>
      </c>
      <c r="C16" s="257">
        <f>'R_KVĚTNATÁ LOUKA'!G25</f>
        <v>0</v>
      </c>
      <c r="D16" s="257">
        <f t="shared" si="0"/>
        <v>0</v>
      </c>
      <c r="E16" s="258">
        <f t="shared" si="1"/>
        <v>0</v>
      </c>
      <c r="F16" s="259">
        <f t="shared" si="2"/>
        <v>0</v>
      </c>
      <c r="G16" s="455"/>
      <c r="I16" s="589" t="s">
        <v>125</v>
      </c>
      <c r="K16" s="590"/>
    </row>
    <row r="17" spans="1:11" s="588" customFormat="1" ht="24" x14ac:dyDescent="0.25">
      <c r="A17" s="256"/>
      <c r="B17" s="47" t="s">
        <v>494</v>
      </c>
      <c r="C17" s="257">
        <f>R_RevitalizaceDH_nezpůsobile!G22</f>
        <v>0</v>
      </c>
      <c r="D17" s="257"/>
      <c r="E17" s="258"/>
      <c r="F17" s="259"/>
      <c r="G17" s="455"/>
      <c r="I17" s="589"/>
      <c r="K17" s="590"/>
    </row>
    <row r="18" spans="1:11" s="588" customFormat="1" ht="24" x14ac:dyDescent="0.25">
      <c r="A18" s="256"/>
      <c r="B18" s="47" t="s">
        <v>495</v>
      </c>
      <c r="C18" s="257">
        <f>'R_RevitalizaceDH_způsobilé nákl'!G31</f>
        <v>0</v>
      </c>
      <c r="D18" s="257"/>
      <c r="E18" s="258"/>
      <c r="F18" s="259"/>
      <c r="G18" s="455"/>
      <c r="I18" s="589"/>
      <c r="K18" s="590"/>
    </row>
    <row r="19" spans="1:11" s="588" customFormat="1" ht="24" x14ac:dyDescent="0.25">
      <c r="A19" s="256"/>
      <c r="B19" s="47" t="str">
        <f>'R_ROSTLINNÝ MATERIÁL'!B3</f>
        <v>5. SOUPIS POUŽITÉHO MATERIÁLU</v>
      </c>
      <c r="C19" s="257">
        <f>'R_ROSTLINNÝ MATERIÁL'!G117-'R_ROSTLINNÝ MATERIÁL'!G116</f>
        <v>0</v>
      </c>
      <c r="D19" s="257">
        <f t="shared" si="0"/>
        <v>0</v>
      </c>
      <c r="E19" s="258">
        <f t="shared" si="1"/>
        <v>0</v>
      </c>
      <c r="F19" s="259">
        <f t="shared" si="2"/>
        <v>0</v>
      </c>
      <c r="G19" s="455"/>
      <c r="H19" s="588" t="s">
        <v>451</v>
      </c>
      <c r="I19" s="589"/>
    </row>
    <row r="20" spans="1:11" s="588" customFormat="1" ht="24" x14ac:dyDescent="0.25">
      <c r="A20" s="463"/>
      <c r="B20" s="47" t="s">
        <v>452</v>
      </c>
      <c r="C20" s="464">
        <f>'R_ROSTLINNÝ MATERIÁL'!G116</f>
        <v>0</v>
      </c>
      <c r="D20" s="464"/>
      <c r="E20" s="465"/>
      <c r="F20" s="466"/>
      <c r="G20" s="455"/>
      <c r="H20" s="588" t="s">
        <v>450</v>
      </c>
      <c r="I20" s="589"/>
    </row>
    <row r="21" spans="1:11" s="262" customFormat="1" thickBot="1" x14ac:dyDescent="0.3">
      <c r="A21" s="467"/>
      <c r="B21" s="468" t="str">
        <f>'R_NÁSLEDNÁ PÉČE'!B3</f>
        <v>6. NÁSLEDNÁ PÉČE</v>
      </c>
      <c r="C21" s="469">
        <f>'R_NÁSLEDNÁ PÉČE'!G27</f>
        <v>0</v>
      </c>
      <c r="D21" s="469">
        <f t="shared" si="0"/>
        <v>0</v>
      </c>
      <c r="E21" s="470">
        <f t="shared" si="1"/>
        <v>0</v>
      </c>
      <c r="F21" s="471">
        <f t="shared" si="2"/>
        <v>0</v>
      </c>
      <c r="G21" s="455"/>
      <c r="H21" s="262" t="s">
        <v>451</v>
      </c>
      <c r="I21" s="261"/>
    </row>
    <row r="22" spans="1:11" s="271" customFormat="1" thickBot="1" x14ac:dyDescent="0.3">
      <c r="A22" s="269"/>
      <c r="B22" s="48" t="s">
        <v>58</v>
      </c>
      <c r="C22" s="270">
        <f>C12</f>
        <v>0</v>
      </c>
      <c r="D22" s="270">
        <f t="shared" ref="D22:F22" si="3">D12</f>
        <v>0</v>
      </c>
      <c r="E22" s="270">
        <f t="shared" si="3"/>
        <v>0</v>
      </c>
      <c r="F22" s="270">
        <f t="shared" si="3"/>
        <v>0</v>
      </c>
      <c r="G22" s="457"/>
      <c r="I22" s="260"/>
    </row>
    <row r="23" spans="1:11" s="417" customFormat="1" x14ac:dyDescent="0.25">
      <c r="C23" s="272"/>
      <c r="D23" s="272"/>
      <c r="E23" s="273"/>
      <c r="F23" s="273"/>
      <c r="G23" s="273"/>
      <c r="H23" s="262"/>
      <c r="I23" s="261"/>
    </row>
    <row r="24" spans="1:11" s="417" customFormat="1" x14ac:dyDescent="0.25">
      <c r="C24" s="272"/>
      <c r="D24" s="272"/>
      <c r="E24" s="273"/>
      <c r="F24" s="273"/>
      <c r="G24" s="273"/>
      <c r="H24" s="262"/>
      <c r="I24" s="260"/>
    </row>
    <row r="25" spans="1:11" ht="12.75" customHeight="1" x14ac:dyDescent="0.25">
      <c r="B25" s="592" t="s">
        <v>123</v>
      </c>
      <c r="C25" s="592"/>
      <c r="D25" s="592"/>
      <c r="E25" s="592"/>
      <c r="F25" s="592"/>
      <c r="G25" s="417"/>
      <c r="H25" s="451" t="s">
        <v>453</v>
      </c>
    </row>
    <row r="26" spans="1:11" x14ac:dyDescent="0.25">
      <c r="B26" s="592"/>
      <c r="C26" s="592"/>
      <c r="D26" s="592"/>
      <c r="E26" s="592"/>
      <c r="F26" s="592"/>
      <c r="G26" s="417"/>
      <c r="H26" s="451" t="s">
        <v>454</v>
      </c>
      <c r="I26" s="450">
        <f>C13+C14+C19+C21</f>
        <v>0</v>
      </c>
    </row>
    <row r="27" spans="1:11" x14ac:dyDescent="0.25">
      <c r="B27" s="592"/>
      <c r="C27" s="592"/>
      <c r="D27" s="592"/>
      <c r="E27" s="592"/>
      <c r="F27" s="592"/>
      <c r="G27" s="417"/>
      <c r="H27" s="451" t="s">
        <v>431</v>
      </c>
      <c r="I27" s="450">
        <f>C15+C20</f>
        <v>0</v>
      </c>
    </row>
    <row r="28" spans="1:11" x14ac:dyDescent="0.25">
      <c r="B28" s="592"/>
      <c r="C28" s="592"/>
      <c r="D28" s="592"/>
      <c r="E28" s="592"/>
      <c r="F28" s="592"/>
      <c r="G28" s="417"/>
      <c r="H28" s="451" t="s">
        <v>455</v>
      </c>
      <c r="I28" s="450">
        <f>C16</f>
        <v>0</v>
      </c>
    </row>
    <row r="29" spans="1:11" x14ac:dyDescent="0.25">
      <c r="B29" s="592"/>
      <c r="C29" s="593"/>
      <c r="D29" s="592"/>
      <c r="E29" s="592"/>
      <c r="F29" s="592"/>
      <c r="G29" s="417"/>
      <c r="I29" s="450"/>
    </row>
    <row r="30" spans="1:11" x14ac:dyDescent="0.25">
      <c r="B30" s="592"/>
      <c r="C30" s="592"/>
      <c r="D30" s="592"/>
      <c r="E30" s="592"/>
      <c r="F30" s="592"/>
      <c r="G30" s="417"/>
    </row>
    <row r="80" spans="10:10" x14ac:dyDescent="0.25">
      <c r="J80" s="49">
        <f>SUM(F73:F80)</f>
        <v>0</v>
      </c>
    </row>
    <row r="81" spans="9:9" x14ac:dyDescent="0.25">
      <c r="I81" s="449">
        <f>SUM(I73:I80)</f>
        <v>0</v>
      </c>
    </row>
  </sheetData>
  <mergeCells count="1">
    <mergeCell ref="B25:F30"/>
  </mergeCells>
  <phoneticPr fontId="4"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zoomScale="130" zoomScaleNormal="100" zoomScaleSheetLayoutView="130" workbookViewId="0">
      <selection activeCell="D20" sqref="D20"/>
    </sheetView>
  </sheetViews>
  <sheetFormatPr defaultRowHeight="12.75" x14ac:dyDescent="0.25"/>
  <cols>
    <col min="1" max="1" width="8.7109375" style="113" customWidth="1"/>
    <col min="2" max="2" width="8.28515625" style="113" customWidth="1"/>
    <col min="3" max="3" width="28.140625" style="176" customWidth="1"/>
    <col min="4" max="4" width="4.5703125" style="113" customWidth="1"/>
    <col min="5" max="6" width="13.42578125" style="114" customWidth="1"/>
    <col min="7" max="7" width="8" style="114" customWidth="1"/>
    <col min="8" max="8" width="12.28515625" style="87" customWidth="1"/>
    <col min="9" max="9" width="9.140625" style="176"/>
    <col min="10" max="254" width="9.140625" style="113"/>
    <col min="255" max="255" width="4.5703125" style="113" customWidth="1"/>
    <col min="256" max="256" width="9.28515625" style="113" customWidth="1"/>
    <col min="257" max="257" width="41.140625" style="113" customWidth="1"/>
    <col min="258" max="258" width="4.5703125" style="113" customWidth="1"/>
    <col min="259" max="260" width="8.85546875" style="113" customWidth="1"/>
    <col min="261" max="261" width="10.7109375" style="113" customWidth="1"/>
    <col min="262" max="262" width="21" style="113" customWidth="1"/>
    <col min="263" max="263" width="7" style="113" customWidth="1"/>
    <col min="264" max="510" width="9.140625" style="113"/>
    <col min="511" max="511" width="4.5703125" style="113" customWidth="1"/>
    <col min="512" max="512" width="9.28515625" style="113" customWidth="1"/>
    <col min="513" max="513" width="41.140625" style="113" customWidth="1"/>
    <col min="514" max="514" width="4.5703125" style="113" customWidth="1"/>
    <col min="515" max="516" width="8.85546875" style="113" customWidth="1"/>
    <col min="517" max="517" width="10.7109375" style="113" customWidth="1"/>
    <col min="518" max="518" width="21" style="113" customWidth="1"/>
    <col min="519" max="519" width="7" style="113" customWidth="1"/>
    <col min="520" max="766" width="9.140625" style="113"/>
    <col min="767" max="767" width="4.5703125" style="113" customWidth="1"/>
    <col min="768" max="768" width="9.28515625" style="113" customWidth="1"/>
    <col min="769" max="769" width="41.140625" style="113" customWidth="1"/>
    <col min="770" max="770" width="4.5703125" style="113" customWidth="1"/>
    <col min="771" max="772" width="8.85546875" style="113" customWidth="1"/>
    <col min="773" max="773" width="10.7109375" style="113" customWidth="1"/>
    <col min="774" max="774" width="21" style="113" customWidth="1"/>
    <col min="775" max="775" width="7" style="113" customWidth="1"/>
    <col min="776" max="1022" width="9.140625" style="113"/>
    <col min="1023" max="1023" width="4.5703125" style="113" customWidth="1"/>
    <col min="1024" max="1024" width="9.28515625" style="113" customWidth="1"/>
    <col min="1025" max="1025" width="41.140625" style="113" customWidth="1"/>
    <col min="1026" max="1026" width="4.5703125" style="113" customWidth="1"/>
    <col min="1027" max="1028" width="8.85546875" style="113" customWidth="1"/>
    <col min="1029" max="1029" width="10.7109375" style="113" customWidth="1"/>
    <col min="1030" max="1030" width="21" style="113" customWidth="1"/>
    <col min="1031" max="1031" width="7" style="113" customWidth="1"/>
    <col min="1032" max="1278" width="9.140625" style="113"/>
    <col min="1279" max="1279" width="4.5703125" style="113" customWidth="1"/>
    <col min="1280" max="1280" width="9.28515625" style="113" customWidth="1"/>
    <col min="1281" max="1281" width="41.140625" style="113" customWidth="1"/>
    <col min="1282" max="1282" width="4.5703125" style="113" customWidth="1"/>
    <col min="1283" max="1284" width="8.85546875" style="113" customWidth="1"/>
    <col min="1285" max="1285" width="10.7109375" style="113" customWidth="1"/>
    <col min="1286" max="1286" width="21" style="113" customWidth="1"/>
    <col min="1287" max="1287" width="7" style="113" customWidth="1"/>
    <col min="1288" max="1534" width="9.140625" style="113"/>
    <col min="1535" max="1535" width="4.5703125" style="113" customWidth="1"/>
    <col min="1536" max="1536" width="9.28515625" style="113" customWidth="1"/>
    <col min="1537" max="1537" width="41.140625" style="113" customWidth="1"/>
    <col min="1538" max="1538" width="4.5703125" style="113" customWidth="1"/>
    <col min="1539" max="1540" width="8.85546875" style="113" customWidth="1"/>
    <col min="1541" max="1541" width="10.7109375" style="113" customWidth="1"/>
    <col min="1542" max="1542" width="21" style="113" customWidth="1"/>
    <col min="1543" max="1543" width="7" style="113" customWidth="1"/>
    <col min="1544" max="1790" width="9.140625" style="113"/>
    <col min="1791" max="1791" width="4.5703125" style="113" customWidth="1"/>
    <col min="1792" max="1792" width="9.28515625" style="113" customWidth="1"/>
    <col min="1793" max="1793" width="41.140625" style="113" customWidth="1"/>
    <col min="1794" max="1794" width="4.5703125" style="113" customWidth="1"/>
    <col min="1795" max="1796" width="8.85546875" style="113" customWidth="1"/>
    <col min="1797" max="1797" width="10.7109375" style="113" customWidth="1"/>
    <col min="1798" max="1798" width="21" style="113" customWidth="1"/>
    <col min="1799" max="1799" width="7" style="113" customWidth="1"/>
    <col min="1800" max="2046" width="9.140625" style="113"/>
    <col min="2047" max="2047" width="4.5703125" style="113" customWidth="1"/>
    <col min="2048" max="2048" width="9.28515625" style="113" customWidth="1"/>
    <col min="2049" max="2049" width="41.140625" style="113" customWidth="1"/>
    <col min="2050" max="2050" width="4.5703125" style="113" customWidth="1"/>
    <col min="2051" max="2052" width="8.85546875" style="113" customWidth="1"/>
    <col min="2053" max="2053" width="10.7109375" style="113" customWidth="1"/>
    <col min="2054" max="2054" width="21" style="113" customWidth="1"/>
    <col min="2055" max="2055" width="7" style="113" customWidth="1"/>
    <col min="2056" max="2302" width="9.140625" style="113"/>
    <col min="2303" max="2303" width="4.5703125" style="113" customWidth="1"/>
    <col min="2304" max="2304" width="9.28515625" style="113" customWidth="1"/>
    <col min="2305" max="2305" width="41.140625" style="113" customWidth="1"/>
    <col min="2306" max="2306" width="4.5703125" style="113" customWidth="1"/>
    <col min="2307" max="2308" width="8.85546875" style="113" customWidth="1"/>
    <col min="2309" max="2309" width="10.7109375" style="113" customWidth="1"/>
    <col min="2310" max="2310" width="21" style="113" customWidth="1"/>
    <col min="2311" max="2311" width="7" style="113" customWidth="1"/>
    <col min="2312" max="2558" width="9.140625" style="113"/>
    <col min="2559" max="2559" width="4.5703125" style="113" customWidth="1"/>
    <col min="2560" max="2560" width="9.28515625" style="113" customWidth="1"/>
    <col min="2561" max="2561" width="41.140625" style="113" customWidth="1"/>
    <col min="2562" max="2562" width="4.5703125" style="113" customWidth="1"/>
    <col min="2563" max="2564" width="8.85546875" style="113" customWidth="1"/>
    <col min="2565" max="2565" width="10.7109375" style="113" customWidth="1"/>
    <col min="2566" max="2566" width="21" style="113" customWidth="1"/>
    <col min="2567" max="2567" width="7" style="113" customWidth="1"/>
    <col min="2568" max="2814" width="9.140625" style="113"/>
    <col min="2815" max="2815" width="4.5703125" style="113" customWidth="1"/>
    <col min="2816" max="2816" width="9.28515625" style="113" customWidth="1"/>
    <col min="2817" max="2817" width="41.140625" style="113" customWidth="1"/>
    <col min="2818" max="2818" width="4.5703125" style="113" customWidth="1"/>
    <col min="2819" max="2820" width="8.85546875" style="113" customWidth="1"/>
    <col min="2821" max="2821" width="10.7109375" style="113" customWidth="1"/>
    <col min="2822" max="2822" width="21" style="113" customWidth="1"/>
    <col min="2823" max="2823" width="7" style="113" customWidth="1"/>
    <col min="2824" max="3070" width="9.140625" style="113"/>
    <col min="3071" max="3071" width="4.5703125" style="113" customWidth="1"/>
    <col min="3072" max="3072" width="9.28515625" style="113" customWidth="1"/>
    <col min="3073" max="3073" width="41.140625" style="113" customWidth="1"/>
    <col min="3074" max="3074" width="4.5703125" style="113" customWidth="1"/>
    <col min="3075" max="3076" width="8.85546875" style="113" customWidth="1"/>
    <col min="3077" max="3077" width="10.7109375" style="113" customWidth="1"/>
    <col min="3078" max="3078" width="21" style="113" customWidth="1"/>
    <col min="3079" max="3079" width="7" style="113" customWidth="1"/>
    <col min="3080" max="3326" width="9.140625" style="113"/>
    <col min="3327" max="3327" width="4.5703125" style="113" customWidth="1"/>
    <col min="3328" max="3328" width="9.28515625" style="113" customWidth="1"/>
    <col min="3329" max="3329" width="41.140625" style="113" customWidth="1"/>
    <col min="3330" max="3330" width="4.5703125" style="113" customWidth="1"/>
    <col min="3331" max="3332" width="8.85546875" style="113" customWidth="1"/>
    <col min="3333" max="3333" width="10.7109375" style="113" customWidth="1"/>
    <col min="3334" max="3334" width="21" style="113" customWidth="1"/>
    <col min="3335" max="3335" width="7" style="113" customWidth="1"/>
    <col min="3336" max="3582" width="9.140625" style="113"/>
    <col min="3583" max="3583" width="4.5703125" style="113" customWidth="1"/>
    <col min="3584" max="3584" width="9.28515625" style="113" customWidth="1"/>
    <col min="3585" max="3585" width="41.140625" style="113" customWidth="1"/>
    <col min="3586" max="3586" width="4.5703125" style="113" customWidth="1"/>
    <col min="3587" max="3588" width="8.85546875" style="113" customWidth="1"/>
    <col min="3589" max="3589" width="10.7109375" style="113" customWidth="1"/>
    <col min="3590" max="3590" width="21" style="113" customWidth="1"/>
    <col min="3591" max="3591" width="7" style="113" customWidth="1"/>
    <col min="3592" max="3838" width="9.140625" style="113"/>
    <col min="3839" max="3839" width="4.5703125" style="113" customWidth="1"/>
    <col min="3840" max="3840" width="9.28515625" style="113" customWidth="1"/>
    <col min="3841" max="3841" width="41.140625" style="113" customWidth="1"/>
    <col min="3842" max="3842" width="4.5703125" style="113" customWidth="1"/>
    <col min="3843" max="3844" width="8.85546875" style="113" customWidth="1"/>
    <col min="3845" max="3845" width="10.7109375" style="113" customWidth="1"/>
    <col min="3846" max="3846" width="21" style="113" customWidth="1"/>
    <col min="3847" max="3847" width="7" style="113" customWidth="1"/>
    <col min="3848" max="4094" width="9.140625" style="113"/>
    <col min="4095" max="4095" width="4.5703125" style="113" customWidth="1"/>
    <col min="4096" max="4096" width="9.28515625" style="113" customWidth="1"/>
    <col min="4097" max="4097" width="41.140625" style="113" customWidth="1"/>
    <col min="4098" max="4098" width="4.5703125" style="113" customWidth="1"/>
    <col min="4099" max="4100" width="8.85546875" style="113" customWidth="1"/>
    <col min="4101" max="4101" width="10.7109375" style="113" customWidth="1"/>
    <col min="4102" max="4102" width="21" style="113" customWidth="1"/>
    <col min="4103" max="4103" width="7" style="113" customWidth="1"/>
    <col min="4104" max="4350" width="9.140625" style="113"/>
    <col min="4351" max="4351" width="4.5703125" style="113" customWidth="1"/>
    <col min="4352" max="4352" width="9.28515625" style="113" customWidth="1"/>
    <col min="4353" max="4353" width="41.140625" style="113" customWidth="1"/>
    <col min="4354" max="4354" width="4.5703125" style="113" customWidth="1"/>
    <col min="4355" max="4356" width="8.85546875" style="113" customWidth="1"/>
    <col min="4357" max="4357" width="10.7109375" style="113" customWidth="1"/>
    <col min="4358" max="4358" width="21" style="113" customWidth="1"/>
    <col min="4359" max="4359" width="7" style="113" customWidth="1"/>
    <col min="4360" max="4606" width="9.140625" style="113"/>
    <col min="4607" max="4607" width="4.5703125" style="113" customWidth="1"/>
    <col min="4608" max="4608" width="9.28515625" style="113" customWidth="1"/>
    <col min="4609" max="4609" width="41.140625" style="113" customWidth="1"/>
    <col min="4610" max="4610" width="4.5703125" style="113" customWidth="1"/>
    <col min="4611" max="4612" width="8.85546875" style="113" customWidth="1"/>
    <col min="4613" max="4613" width="10.7109375" style="113" customWidth="1"/>
    <col min="4614" max="4614" width="21" style="113" customWidth="1"/>
    <col min="4615" max="4615" width="7" style="113" customWidth="1"/>
    <col min="4616" max="4862" width="9.140625" style="113"/>
    <col min="4863" max="4863" width="4.5703125" style="113" customWidth="1"/>
    <col min="4864" max="4864" width="9.28515625" style="113" customWidth="1"/>
    <col min="4865" max="4865" width="41.140625" style="113" customWidth="1"/>
    <col min="4866" max="4866" width="4.5703125" style="113" customWidth="1"/>
    <col min="4867" max="4868" width="8.85546875" style="113" customWidth="1"/>
    <col min="4869" max="4869" width="10.7109375" style="113" customWidth="1"/>
    <col min="4870" max="4870" width="21" style="113" customWidth="1"/>
    <col min="4871" max="4871" width="7" style="113" customWidth="1"/>
    <col min="4872" max="5118" width="9.140625" style="113"/>
    <col min="5119" max="5119" width="4.5703125" style="113" customWidth="1"/>
    <col min="5120" max="5120" width="9.28515625" style="113" customWidth="1"/>
    <col min="5121" max="5121" width="41.140625" style="113" customWidth="1"/>
    <col min="5122" max="5122" width="4.5703125" style="113" customWidth="1"/>
    <col min="5123" max="5124" width="8.85546875" style="113" customWidth="1"/>
    <col min="5125" max="5125" width="10.7109375" style="113" customWidth="1"/>
    <col min="5126" max="5126" width="21" style="113" customWidth="1"/>
    <col min="5127" max="5127" width="7" style="113" customWidth="1"/>
    <col min="5128" max="5374" width="9.140625" style="113"/>
    <col min="5375" max="5375" width="4.5703125" style="113" customWidth="1"/>
    <col min="5376" max="5376" width="9.28515625" style="113" customWidth="1"/>
    <col min="5377" max="5377" width="41.140625" style="113" customWidth="1"/>
    <col min="5378" max="5378" width="4.5703125" style="113" customWidth="1"/>
    <col min="5379" max="5380" width="8.85546875" style="113" customWidth="1"/>
    <col min="5381" max="5381" width="10.7109375" style="113" customWidth="1"/>
    <col min="5382" max="5382" width="21" style="113" customWidth="1"/>
    <col min="5383" max="5383" width="7" style="113" customWidth="1"/>
    <col min="5384" max="5630" width="9.140625" style="113"/>
    <col min="5631" max="5631" width="4.5703125" style="113" customWidth="1"/>
    <col min="5632" max="5632" width="9.28515625" style="113" customWidth="1"/>
    <col min="5633" max="5633" width="41.140625" style="113" customWidth="1"/>
    <col min="5634" max="5634" width="4.5703125" style="113" customWidth="1"/>
    <col min="5635" max="5636" width="8.85546875" style="113" customWidth="1"/>
    <col min="5637" max="5637" width="10.7109375" style="113" customWidth="1"/>
    <col min="5638" max="5638" width="21" style="113" customWidth="1"/>
    <col min="5639" max="5639" width="7" style="113" customWidth="1"/>
    <col min="5640" max="5886" width="9.140625" style="113"/>
    <col min="5887" max="5887" width="4.5703125" style="113" customWidth="1"/>
    <col min="5888" max="5888" width="9.28515625" style="113" customWidth="1"/>
    <col min="5889" max="5889" width="41.140625" style="113" customWidth="1"/>
    <col min="5890" max="5890" width="4.5703125" style="113" customWidth="1"/>
    <col min="5891" max="5892" width="8.85546875" style="113" customWidth="1"/>
    <col min="5893" max="5893" width="10.7109375" style="113" customWidth="1"/>
    <col min="5894" max="5894" width="21" style="113" customWidth="1"/>
    <col min="5895" max="5895" width="7" style="113" customWidth="1"/>
    <col min="5896" max="6142" width="9.140625" style="113"/>
    <col min="6143" max="6143" width="4.5703125" style="113" customWidth="1"/>
    <col min="6144" max="6144" width="9.28515625" style="113" customWidth="1"/>
    <col min="6145" max="6145" width="41.140625" style="113" customWidth="1"/>
    <col min="6146" max="6146" width="4.5703125" style="113" customWidth="1"/>
    <col min="6147" max="6148" width="8.85546875" style="113" customWidth="1"/>
    <col min="6149" max="6149" width="10.7109375" style="113" customWidth="1"/>
    <col min="6150" max="6150" width="21" style="113" customWidth="1"/>
    <col min="6151" max="6151" width="7" style="113" customWidth="1"/>
    <col min="6152" max="6398" width="9.140625" style="113"/>
    <col min="6399" max="6399" width="4.5703125" style="113" customWidth="1"/>
    <col min="6400" max="6400" width="9.28515625" style="113" customWidth="1"/>
    <col min="6401" max="6401" width="41.140625" style="113" customWidth="1"/>
    <col min="6402" max="6402" width="4.5703125" style="113" customWidth="1"/>
    <col min="6403" max="6404" width="8.85546875" style="113" customWidth="1"/>
    <col min="6405" max="6405" width="10.7109375" style="113" customWidth="1"/>
    <col min="6406" max="6406" width="21" style="113" customWidth="1"/>
    <col min="6407" max="6407" width="7" style="113" customWidth="1"/>
    <col min="6408" max="6654" width="9.140625" style="113"/>
    <col min="6655" max="6655" width="4.5703125" style="113" customWidth="1"/>
    <col min="6656" max="6656" width="9.28515625" style="113" customWidth="1"/>
    <col min="6657" max="6657" width="41.140625" style="113" customWidth="1"/>
    <col min="6658" max="6658" width="4.5703125" style="113" customWidth="1"/>
    <col min="6659" max="6660" width="8.85546875" style="113" customWidth="1"/>
    <col min="6661" max="6661" width="10.7109375" style="113" customWidth="1"/>
    <col min="6662" max="6662" width="21" style="113" customWidth="1"/>
    <col min="6663" max="6663" width="7" style="113" customWidth="1"/>
    <col min="6664" max="6910" width="9.140625" style="113"/>
    <col min="6911" max="6911" width="4.5703125" style="113" customWidth="1"/>
    <col min="6912" max="6912" width="9.28515625" style="113" customWidth="1"/>
    <col min="6913" max="6913" width="41.140625" style="113" customWidth="1"/>
    <col min="6914" max="6914" width="4.5703125" style="113" customWidth="1"/>
    <col min="6915" max="6916" width="8.85546875" style="113" customWidth="1"/>
    <col min="6917" max="6917" width="10.7109375" style="113" customWidth="1"/>
    <col min="6918" max="6918" width="21" style="113" customWidth="1"/>
    <col min="6919" max="6919" width="7" style="113" customWidth="1"/>
    <col min="6920" max="7166" width="9.140625" style="113"/>
    <col min="7167" max="7167" width="4.5703125" style="113" customWidth="1"/>
    <col min="7168" max="7168" width="9.28515625" style="113" customWidth="1"/>
    <col min="7169" max="7169" width="41.140625" style="113" customWidth="1"/>
    <col min="7170" max="7170" width="4.5703125" style="113" customWidth="1"/>
    <col min="7171" max="7172" width="8.85546875" style="113" customWidth="1"/>
    <col min="7173" max="7173" width="10.7109375" style="113" customWidth="1"/>
    <col min="7174" max="7174" width="21" style="113" customWidth="1"/>
    <col min="7175" max="7175" width="7" style="113" customWidth="1"/>
    <col min="7176" max="7422" width="9.140625" style="113"/>
    <col min="7423" max="7423" width="4.5703125" style="113" customWidth="1"/>
    <col min="7424" max="7424" width="9.28515625" style="113" customWidth="1"/>
    <col min="7425" max="7425" width="41.140625" style="113" customWidth="1"/>
    <col min="7426" max="7426" width="4.5703125" style="113" customWidth="1"/>
    <col min="7427" max="7428" width="8.85546875" style="113" customWidth="1"/>
    <col min="7429" max="7429" width="10.7109375" style="113" customWidth="1"/>
    <col min="7430" max="7430" width="21" style="113" customWidth="1"/>
    <col min="7431" max="7431" width="7" style="113" customWidth="1"/>
    <col min="7432" max="7678" width="9.140625" style="113"/>
    <col min="7679" max="7679" width="4.5703125" style="113" customWidth="1"/>
    <col min="7680" max="7680" width="9.28515625" style="113" customWidth="1"/>
    <col min="7681" max="7681" width="41.140625" style="113" customWidth="1"/>
    <col min="7682" max="7682" width="4.5703125" style="113" customWidth="1"/>
    <col min="7683" max="7684" width="8.85546875" style="113" customWidth="1"/>
    <col min="7685" max="7685" width="10.7109375" style="113" customWidth="1"/>
    <col min="7686" max="7686" width="21" style="113" customWidth="1"/>
    <col min="7687" max="7687" width="7" style="113" customWidth="1"/>
    <col min="7688" max="7934" width="9.140625" style="113"/>
    <col min="7935" max="7935" width="4.5703125" style="113" customWidth="1"/>
    <col min="7936" max="7936" width="9.28515625" style="113" customWidth="1"/>
    <col min="7937" max="7937" width="41.140625" style="113" customWidth="1"/>
    <col min="7938" max="7938" width="4.5703125" style="113" customWidth="1"/>
    <col min="7939" max="7940" width="8.85546875" style="113" customWidth="1"/>
    <col min="7941" max="7941" width="10.7109375" style="113" customWidth="1"/>
    <col min="7942" max="7942" width="21" style="113" customWidth="1"/>
    <col min="7943" max="7943" width="7" style="113" customWidth="1"/>
    <col min="7944" max="8190" width="9.140625" style="113"/>
    <col min="8191" max="8191" width="4.5703125" style="113" customWidth="1"/>
    <col min="8192" max="8192" width="9.28515625" style="113" customWidth="1"/>
    <col min="8193" max="8193" width="41.140625" style="113" customWidth="1"/>
    <col min="8194" max="8194" width="4.5703125" style="113" customWidth="1"/>
    <col min="8195" max="8196" width="8.85546875" style="113" customWidth="1"/>
    <col min="8197" max="8197" width="10.7109375" style="113" customWidth="1"/>
    <col min="8198" max="8198" width="21" style="113" customWidth="1"/>
    <col min="8199" max="8199" width="7" style="113" customWidth="1"/>
    <col min="8200" max="8446" width="9.140625" style="113"/>
    <col min="8447" max="8447" width="4.5703125" style="113" customWidth="1"/>
    <col min="8448" max="8448" width="9.28515625" style="113" customWidth="1"/>
    <col min="8449" max="8449" width="41.140625" style="113" customWidth="1"/>
    <col min="8450" max="8450" width="4.5703125" style="113" customWidth="1"/>
    <col min="8451" max="8452" width="8.85546875" style="113" customWidth="1"/>
    <col min="8453" max="8453" width="10.7109375" style="113" customWidth="1"/>
    <col min="8454" max="8454" width="21" style="113" customWidth="1"/>
    <col min="8455" max="8455" width="7" style="113" customWidth="1"/>
    <col min="8456" max="8702" width="9.140625" style="113"/>
    <col min="8703" max="8703" width="4.5703125" style="113" customWidth="1"/>
    <col min="8704" max="8704" width="9.28515625" style="113" customWidth="1"/>
    <col min="8705" max="8705" width="41.140625" style="113" customWidth="1"/>
    <col min="8706" max="8706" width="4.5703125" style="113" customWidth="1"/>
    <col min="8707" max="8708" width="8.85546875" style="113" customWidth="1"/>
    <col min="8709" max="8709" width="10.7109375" style="113" customWidth="1"/>
    <col min="8710" max="8710" width="21" style="113" customWidth="1"/>
    <col min="8711" max="8711" width="7" style="113" customWidth="1"/>
    <col min="8712" max="8958" width="9.140625" style="113"/>
    <col min="8959" max="8959" width="4.5703125" style="113" customWidth="1"/>
    <col min="8960" max="8960" width="9.28515625" style="113" customWidth="1"/>
    <col min="8961" max="8961" width="41.140625" style="113" customWidth="1"/>
    <col min="8962" max="8962" width="4.5703125" style="113" customWidth="1"/>
    <col min="8963" max="8964" width="8.85546875" style="113" customWidth="1"/>
    <col min="8965" max="8965" width="10.7109375" style="113" customWidth="1"/>
    <col min="8966" max="8966" width="21" style="113" customWidth="1"/>
    <col min="8967" max="8967" width="7" style="113" customWidth="1"/>
    <col min="8968" max="9214" width="9.140625" style="113"/>
    <col min="9215" max="9215" width="4.5703125" style="113" customWidth="1"/>
    <col min="9216" max="9216" width="9.28515625" style="113" customWidth="1"/>
    <col min="9217" max="9217" width="41.140625" style="113" customWidth="1"/>
    <col min="9218" max="9218" width="4.5703125" style="113" customWidth="1"/>
    <col min="9219" max="9220" width="8.85546875" style="113" customWidth="1"/>
    <col min="9221" max="9221" width="10.7109375" style="113" customWidth="1"/>
    <col min="9222" max="9222" width="21" style="113" customWidth="1"/>
    <col min="9223" max="9223" width="7" style="113" customWidth="1"/>
    <col min="9224" max="9470" width="9.140625" style="113"/>
    <col min="9471" max="9471" width="4.5703125" style="113" customWidth="1"/>
    <col min="9472" max="9472" width="9.28515625" style="113" customWidth="1"/>
    <col min="9473" max="9473" width="41.140625" style="113" customWidth="1"/>
    <col min="9474" max="9474" width="4.5703125" style="113" customWidth="1"/>
    <col min="9475" max="9476" width="8.85546875" style="113" customWidth="1"/>
    <col min="9477" max="9477" width="10.7109375" style="113" customWidth="1"/>
    <col min="9478" max="9478" width="21" style="113" customWidth="1"/>
    <col min="9479" max="9479" width="7" style="113" customWidth="1"/>
    <col min="9480" max="9726" width="9.140625" style="113"/>
    <col min="9727" max="9727" width="4.5703125" style="113" customWidth="1"/>
    <col min="9728" max="9728" width="9.28515625" style="113" customWidth="1"/>
    <col min="9729" max="9729" width="41.140625" style="113" customWidth="1"/>
    <col min="9730" max="9730" width="4.5703125" style="113" customWidth="1"/>
    <col min="9731" max="9732" width="8.85546875" style="113" customWidth="1"/>
    <col min="9733" max="9733" width="10.7109375" style="113" customWidth="1"/>
    <col min="9734" max="9734" width="21" style="113" customWidth="1"/>
    <col min="9735" max="9735" width="7" style="113" customWidth="1"/>
    <col min="9736" max="9982" width="9.140625" style="113"/>
    <col min="9983" max="9983" width="4.5703125" style="113" customWidth="1"/>
    <col min="9984" max="9984" width="9.28515625" style="113" customWidth="1"/>
    <col min="9985" max="9985" width="41.140625" style="113" customWidth="1"/>
    <col min="9986" max="9986" width="4.5703125" style="113" customWidth="1"/>
    <col min="9987" max="9988" width="8.85546875" style="113" customWidth="1"/>
    <col min="9989" max="9989" width="10.7109375" style="113" customWidth="1"/>
    <col min="9990" max="9990" width="21" style="113" customWidth="1"/>
    <col min="9991" max="9991" width="7" style="113" customWidth="1"/>
    <col min="9992" max="10238" width="9.140625" style="113"/>
    <col min="10239" max="10239" width="4.5703125" style="113" customWidth="1"/>
    <col min="10240" max="10240" width="9.28515625" style="113" customWidth="1"/>
    <col min="10241" max="10241" width="41.140625" style="113" customWidth="1"/>
    <col min="10242" max="10242" width="4.5703125" style="113" customWidth="1"/>
    <col min="10243" max="10244" width="8.85546875" style="113" customWidth="1"/>
    <col min="10245" max="10245" width="10.7109375" style="113" customWidth="1"/>
    <col min="10246" max="10246" width="21" style="113" customWidth="1"/>
    <col min="10247" max="10247" width="7" style="113" customWidth="1"/>
    <col min="10248" max="10494" width="9.140625" style="113"/>
    <col min="10495" max="10495" width="4.5703125" style="113" customWidth="1"/>
    <col min="10496" max="10496" width="9.28515625" style="113" customWidth="1"/>
    <col min="10497" max="10497" width="41.140625" style="113" customWidth="1"/>
    <col min="10498" max="10498" width="4.5703125" style="113" customWidth="1"/>
    <col min="10499" max="10500" width="8.85546875" style="113" customWidth="1"/>
    <col min="10501" max="10501" width="10.7109375" style="113" customWidth="1"/>
    <col min="10502" max="10502" width="21" style="113" customWidth="1"/>
    <col min="10503" max="10503" width="7" style="113" customWidth="1"/>
    <col min="10504" max="10750" width="9.140625" style="113"/>
    <col min="10751" max="10751" width="4.5703125" style="113" customWidth="1"/>
    <col min="10752" max="10752" width="9.28515625" style="113" customWidth="1"/>
    <col min="10753" max="10753" width="41.140625" style="113" customWidth="1"/>
    <col min="10754" max="10754" width="4.5703125" style="113" customWidth="1"/>
    <col min="10755" max="10756" width="8.85546875" style="113" customWidth="1"/>
    <col min="10757" max="10757" width="10.7109375" style="113" customWidth="1"/>
    <col min="10758" max="10758" width="21" style="113" customWidth="1"/>
    <col min="10759" max="10759" width="7" style="113" customWidth="1"/>
    <col min="10760" max="11006" width="9.140625" style="113"/>
    <col min="11007" max="11007" width="4.5703125" style="113" customWidth="1"/>
    <col min="11008" max="11008" width="9.28515625" style="113" customWidth="1"/>
    <col min="11009" max="11009" width="41.140625" style="113" customWidth="1"/>
    <col min="11010" max="11010" width="4.5703125" style="113" customWidth="1"/>
    <col min="11011" max="11012" width="8.85546875" style="113" customWidth="1"/>
    <col min="11013" max="11013" width="10.7109375" style="113" customWidth="1"/>
    <col min="11014" max="11014" width="21" style="113" customWidth="1"/>
    <col min="11015" max="11015" width="7" style="113" customWidth="1"/>
    <col min="11016" max="11262" width="9.140625" style="113"/>
    <col min="11263" max="11263" width="4.5703125" style="113" customWidth="1"/>
    <col min="11264" max="11264" width="9.28515625" style="113" customWidth="1"/>
    <col min="11265" max="11265" width="41.140625" style="113" customWidth="1"/>
    <col min="11266" max="11266" width="4.5703125" style="113" customWidth="1"/>
    <col min="11267" max="11268" width="8.85546875" style="113" customWidth="1"/>
    <col min="11269" max="11269" width="10.7109375" style="113" customWidth="1"/>
    <col min="11270" max="11270" width="21" style="113" customWidth="1"/>
    <col min="11271" max="11271" width="7" style="113" customWidth="1"/>
    <col min="11272" max="11518" width="9.140625" style="113"/>
    <col min="11519" max="11519" width="4.5703125" style="113" customWidth="1"/>
    <col min="11520" max="11520" width="9.28515625" style="113" customWidth="1"/>
    <col min="11521" max="11521" width="41.140625" style="113" customWidth="1"/>
    <col min="11522" max="11522" width="4.5703125" style="113" customWidth="1"/>
    <col min="11523" max="11524" width="8.85546875" style="113" customWidth="1"/>
    <col min="11525" max="11525" width="10.7109375" style="113" customWidth="1"/>
    <col min="11526" max="11526" width="21" style="113" customWidth="1"/>
    <col min="11527" max="11527" width="7" style="113" customWidth="1"/>
    <col min="11528" max="11774" width="9.140625" style="113"/>
    <col min="11775" max="11775" width="4.5703125" style="113" customWidth="1"/>
    <col min="11776" max="11776" width="9.28515625" style="113" customWidth="1"/>
    <col min="11777" max="11777" width="41.140625" style="113" customWidth="1"/>
    <col min="11778" max="11778" width="4.5703125" style="113" customWidth="1"/>
    <col min="11779" max="11780" width="8.85546875" style="113" customWidth="1"/>
    <col min="11781" max="11781" width="10.7109375" style="113" customWidth="1"/>
    <col min="11782" max="11782" width="21" style="113" customWidth="1"/>
    <col min="11783" max="11783" width="7" style="113" customWidth="1"/>
    <col min="11784" max="12030" width="9.140625" style="113"/>
    <col min="12031" max="12031" width="4.5703125" style="113" customWidth="1"/>
    <col min="12032" max="12032" width="9.28515625" style="113" customWidth="1"/>
    <col min="12033" max="12033" width="41.140625" style="113" customWidth="1"/>
    <col min="12034" max="12034" width="4.5703125" style="113" customWidth="1"/>
    <col min="12035" max="12036" width="8.85546875" style="113" customWidth="1"/>
    <col min="12037" max="12037" width="10.7109375" style="113" customWidth="1"/>
    <col min="12038" max="12038" width="21" style="113" customWidth="1"/>
    <col min="12039" max="12039" width="7" style="113" customWidth="1"/>
    <col min="12040" max="12286" width="9.140625" style="113"/>
    <col min="12287" max="12287" width="4.5703125" style="113" customWidth="1"/>
    <col min="12288" max="12288" width="9.28515625" style="113" customWidth="1"/>
    <col min="12289" max="12289" width="41.140625" style="113" customWidth="1"/>
    <col min="12290" max="12290" width="4.5703125" style="113" customWidth="1"/>
    <col min="12291" max="12292" width="8.85546875" style="113" customWidth="1"/>
    <col min="12293" max="12293" width="10.7109375" style="113" customWidth="1"/>
    <col min="12294" max="12294" width="21" style="113" customWidth="1"/>
    <col min="12295" max="12295" width="7" style="113" customWidth="1"/>
    <col min="12296" max="12542" width="9.140625" style="113"/>
    <col min="12543" max="12543" width="4.5703125" style="113" customWidth="1"/>
    <col min="12544" max="12544" width="9.28515625" style="113" customWidth="1"/>
    <col min="12545" max="12545" width="41.140625" style="113" customWidth="1"/>
    <col min="12546" max="12546" width="4.5703125" style="113" customWidth="1"/>
    <col min="12547" max="12548" width="8.85546875" style="113" customWidth="1"/>
    <col min="12549" max="12549" width="10.7109375" style="113" customWidth="1"/>
    <col min="12550" max="12550" width="21" style="113" customWidth="1"/>
    <col min="12551" max="12551" width="7" style="113" customWidth="1"/>
    <col min="12552" max="12798" width="9.140625" style="113"/>
    <col min="12799" max="12799" width="4.5703125" style="113" customWidth="1"/>
    <col min="12800" max="12800" width="9.28515625" style="113" customWidth="1"/>
    <col min="12801" max="12801" width="41.140625" style="113" customWidth="1"/>
    <col min="12802" max="12802" width="4.5703125" style="113" customWidth="1"/>
    <col min="12803" max="12804" width="8.85546875" style="113" customWidth="1"/>
    <col min="12805" max="12805" width="10.7109375" style="113" customWidth="1"/>
    <col min="12806" max="12806" width="21" style="113" customWidth="1"/>
    <col min="12807" max="12807" width="7" style="113" customWidth="1"/>
    <col min="12808" max="13054" width="9.140625" style="113"/>
    <col min="13055" max="13055" width="4.5703125" style="113" customWidth="1"/>
    <col min="13056" max="13056" width="9.28515625" style="113" customWidth="1"/>
    <col min="13057" max="13057" width="41.140625" style="113" customWidth="1"/>
    <col min="13058" max="13058" width="4.5703125" style="113" customWidth="1"/>
    <col min="13059" max="13060" width="8.85546875" style="113" customWidth="1"/>
    <col min="13061" max="13061" width="10.7109375" style="113" customWidth="1"/>
    <col min="13062" max="13062" width="21" style="113" customWidth="1"/>
    <col min="13063" max="13063" width="7" style="113" customWidth="1"/>
    <col min="13064" max="13310" width="9.140625" style="113"/>
    <col min="13311" max="13311" width="4.5703125" style="113" customWidth="1"/>
    <col min="13312" max="13312" width="9.28515625" style="113" customWidth="1"/>
    <col min="13313" max="13313" width="41.140625" style="113" customWidth="1"/>
    <col min="13314" max="13314" width="4.5703125" style="113" customWidth="1"/>
    <col min="13315" max="13316" width="8.85546875" style="113" customWidth="1"/>
    <col min="13317" max="13317" width="10.7109375" style="113" customWidth="1"/>
    <col min="13318" max="13318" width="21" style="113" customWidth="1"/>
    <col min="13319" max="13319" width="7" style="113" customWidth="1"/>
    <col min="13320" max="13566" width="9.140625" style="113"/>
    <col min="13567" max="13567" width="4.5703125" style="113" customWidth="1"/>
    <col min="13568" max="13568" width="9.28515625" style="113" customWidth="1"/>
    <col min="13569" max="13569" width="41.140625" style="113" customWidth="1"/>
    <col min="13570" max="13570" width="4.5703125" style="113" customWidth="1"/>
    <col min="13571" max="13572" width="8.85546875" style="113" customWidth="1"/>
    <col min="13573" max="13573" width="10.7109375" style="113" customWidth="1"/>
    <col min="13574" max="13574" width="21" style="113" customWidth="1"/>
    <col min="13575" max="13575" width="7" style="113" customWidth="1"/>
    <col min="13576" max="13822" width="9.140625" style="113"/>
    <col min="13823" max="13823" width="4.5703125" style="113" customWidth="1"/>
    <col min="13824" max="13824" width="9.28515625" style="113" customWidth="1"/>
    <col min="13825" max="13825" width="41.140625" style="113" customWidth="1"/>
    <col min="13826" max="13826" width="4.5703125" style="113" customWidth="1"/>
    <col min="13827" max="13828" width="8.85546875" style="113" customWidth="1"/>
    <col min="13829" max="13829" width="10.7109375" style="113" customWidth="1"/>
    <col min="13830" max="13830" width="21" style="113" customWidth="1"/>
    <col min="13831" max="13831" width="7" style="113" customWidth="1"/>
    <col min="13832" max="14078" width="9.140625" style="113"/>
    <col min="14079" max="14079" width="4.5703125" style="113" customWidth="1"/>
    <col min="14080" max="14080" width="9.28515625" style="113" customWidth="1"/>
    <col min="14081" max="14081" width="41.140625" style="113" customWidth="1"/>
    <col min="14082" max="14082" width="4.5703125" style="113" customWidth="1"/>
    <col min="14083" max="14084" width="8.85546875" style="113" customWidth="1"/>
    <col min="14085" max="14085" width="10.7109375" style="113" customWidth="1"/>
    <col min="14086" max="14086" width="21" style="113" customWidth="1"/>
    <col min="14087" max="14087" width="7" style="113" customWidth="1"/>
    <col min="14088" max="14334" width="9.140625" style="113"/>
    <col min="14335" max="14335" width="4.5703125" style="113" customWidth="1"/>
    <col min="14336" max="14336" width="9.28515625" style="113" customWidth="1"/>
    <col min="14337" max="14337" width="41.140625" style="113" customWidth="1"/>
    <col min="14338" max="14338" width="4.5703125" style="113" customWidth="1"/>
    <col min="14339" max="14340" width="8.85546875" style="113" customWidth="1"/>
    <col min="14341" max="14341" width="10.7109375" style="113" customWidth="1"/>
    <col min="14342" max="14342" width="21" style="113" customWidth="1"/>
    <col min="14343" max="14343" width="7" style="113" customWidth="1"/>
    <col min="14344" max="14590" width="9.140625" style="113"/>
    <col min="14591" max="14591" width="4.5703125" style="113" customWidth="1"/>
    <col min="14592" max="14592" width="9.28515625" style="113" customWidth="1"/>
    <col min="14593" max="14593" width="41.140625" style="113" customWidth="1"/>
    <col min="14594" max="14594" width="4.5703125" style="113" customWidth="1"/>
    <col min="14595" max="14596" width="8.85546875" style="113" customWidth="1"/>
    <col min="14597" max="14597" width="10.7109375" style="113" customWidth="1"/>
    <col min="14598" max="14598" width="21" style="113" customWidth="1"/>
    <col min="14599" max="14599" width="7" style="113" customWidth="1"/>
    <col min="14600" max="14846" width="9.140625" style="113"/>
    <col min="14847" max="14847" width="4.5703125" style="113" customWidth="1"/>
    <col min="14848" max="14848" width="9.28515625" style="113" customWidth="1"/>
    <col min="14849" max="14849" width="41.140625" style="113" customWidth="1"/>
    <col min="14850" max="14850" width="4.5703125" style="113" customWidth="1"/>
    <col min="14851" max="14852" width="8.85546875" style="113" customWidth="1"/>
    <col min="14853" max="14853" width="10.7109375" style="113" customWidth="1"/>
    <col min="14854" max="14854" width="21" style="113" customWidth="1"/>
    <col min="14855" max="14855" width="7" style="113" customWidth="1"/>
    <col min="14856" max="15102" width="9.140625" style="113"/>
    <col min="15103" max="15103" width="4.5703125" style="113" customWidth="1"/>
    <col min="15104" max="15104" width="9.28515625" style="113" customWidth="1"/>
    <col min="15105" max="15105" width="41.140625" style="113" customWidth="1"/>
    <col min="15106" max="15106" width="4.5703125" style="113" customWidth="1"/>
    <col min="15107" max="15108" width="8.85546875" style="113" customWidth="1"/>
    <col min="15109" max="15109" width="10.7109375" style="113" customWidth="1"/>
    <col min="15110" max="15110" width="21" style="113" customWidth="1"/>
    <col min="15111" max="15111" width="7" style="113" customWidth="1"/>
    <col min="15112" max="15358" width="9.140625" style="113"/>
    <col min="15359" max="15359" width="4.5703125" style="113" customWidth="1"/>
    <col min="15360" max="15360" width="9.28515625" style="113" customWidth="1"/>
    <col min="15361" max="15361" width="41.140625" style="113" customWidth="1"/>
    <col min="15362" max="15362" width="4.5703125" style="113" customWidth="1"/>
    <col min="15363" max="15364" width="8.85546875" style="113" customWidth="1"/>
    <col min="15365" max="15365" width="10.7109375" style="113" customWidth="1"/>
    <col min="15366" max="15366" width="21" style="113" customWidth="1"/>
    <col min="15367" max="15367" width="7" style="113" customWidth="1"/>
    <col min="15368" max="15614" width="9.140625" style="113"/>
    <col min="15615" max="15615" width="4.5703125" style="113" customWidth="1"/>
    <col min="15616" max="15616" width="9.28515625" style="113" customWidth="1"/>
    <col min="15617" max="15617" width="41.140625" style="113" customWidth="1"/>
    <col min="15618" max="15618" width="4.5703125" style="113" customWidth="1"/>
    <col min="15619" max="15620" width="8.85546875" style="113" customWidth="1"/>
    <col min="15621" max="15621" width="10.7109375" style="113" customWidth="1"/>
    <col min="15622" max="15622" width="21" style="113" customWidth="1"/>
    <col min="15623" max="15623" width="7" style="113" customWidth="1"/>
    <col min="15624" max="15870" width="9.140625" style="113"/>
    <col min="15871" max="15871" width="4.5703125" style="113" customWidth="1"/>
    <col min="15872" max="15872" width="9.28515625" style="113" customWidth="1"/>
    <col min="15873" max="15873" width="41.140625" style="113" customWidth="1"/>
    <col min="15874" max="15874" width="4.5703125" style="113" customWidth="1"/>
    <col min="15875" max="15876" width="8.85546875" style="113" customWidth="1"/>
    <col min="15877" max="15877" width="10.7109375" style="113" customWidth="1"/>
    <col min="15878" max="15878" width="21" style="113" customWidth="1"/>
    <col min="15879" max="15879" width="7" style="113" customWidth="1"/>
    <col min="15880" max="16126" width="9.140625" style="113"/>
    <col min="16127" max="16127" width="4.5703125" style="113" customWidth="1"/>
    <col min="16128" max="16128" width="9.28515625" style="113" customWidth="1"/>
    <col min="16129" max="16129" width="41.140625" style="113" customWidth="1"/>
    <col min="16130" max="16130" width="4.5703125" style="113" customWidth="1"/>
    <col min="16131" max="16132" width="8.85546875" style="113" customWidth="1"/>
    <col min="16133" max="16133" width="10.7109375" style="113" customWidth="1"/>
    <col min="16134" max="16134" width="21" style="113" customWidth="1"/>
    <col min="16135" max="16135" width="7" style="113" customWidth="1"/>
    <col min="16136" max="16384" width="9.140625" style="113"/>
  </cols>
  <sheetData>
    <row r="1" spans="1:9" s="158" customFormat="1" ht="22.5" x14ac:dyDescent="0.25">
      <c r="A1" s="594" t="s">
        <v>496</v>
      </c>
      <c r="B1" s="594"/>
      <c r="C1" s="594"/>
      <c r="D1" s="594"/>
      <c r="E1" s="594"/>
      <c r="F1" s="594"/>
      <c r="G1" s="594"/>
      <c r="H1" s="157"/>
    </row>
    <row r="2" spans="1:9" s="22" customFormat="1" x14ac:dyDescent="0.25">
      <c r="A2" s="22" t="s">
        <v>393</v>
      </c>
      <c r="B2" s="22" t="s">
        <v>190</v>
      </c>
      <c r="F2" s="217"/>
      <c r="G2" s="218"/>
      <c r="H2" s="217"/>
      <c r="I2" s="23"/>
    </row>
    <row r="3" spans="1:9" s="225" customFormat="1" ht="15" x14ac:dyDescent="0.3">
      <c r="A3" s="219" t="s">
        <v>181</v>
      </c>
      <c r="B3" s="219" t="s">
        <v>325</v>
      </c>
      <c r="C3" s="220"/>
      <c r="D3" s="221"/>
      <c r="E3" s="222"/>
      <c r="F3" s="223"/>
      <c r="G3" s="224"/>
      <c r="H3" s="223"/>
      <c r="I3" s="418"/>
    </row>
    <row r="4" spans="1:9" s="232" customFormat="1" x14ac:dyDescent="0.2">
      <c r="A4" s="226" t="s">
        <v>180</v>
      </c>
      <c r="B4" s="226" t="s">
        <v>191</v>
      </c>
      <c r="C4" s="227"/>
      <c r="D4" s="228"/>
      <c r="E4" s="229"/>
      <c r="F4" s="230"/>
      <c r="G4" s="231"/>
      <c r="H4" s="230"/>
      <c r="I4" s="419"/>
    </row>
    <row r="5" spans="1:9" s="232" customFormat="1" x14ac:dyDescent="0.2">
      <c r="A5" s="226" t="s">
        <v>392</v>
      </c>
      <c r="B5" s="226"/>
      <c r="C5" s="227"/>
      <c r="D5" s="228"/>
      <c r="E5" s="229"/>
      <c r="F5" s="230"/>
      <c r="G5" s="231"/>
      <c r="H5" s="230"/>
      <c r="I5" s="419"/>
    </row>
    <row r="6" spans="1:9" s="232" customFormat="1" x14ac:dyDescent="0.2">
      <c r="A6" s="226" t="s">
        <v>221</v>
      </c>
      <c r="B6" s="233" t="s">
        <v>222</v>
      </c>
      <c r="C6" s="227"/>
      <c r="D6" s="228"/>
      <c r="E6" s="229"/>
      <c r="F6" s="230"/>
      <c r="G6" s="231"/>
      <c r="H6" s="230"/>
      <c r="I6" s="419"/>
    </row>
    <row r="7" spans="1:9" s="57" customFormat="1" x14ac:dyDescent="0.25">
      <c r="A7" s="52"/>
      <c r="B7" s="52"/>
      <c r="C7" s="167"/>
      <c r="D7" s="52"/>
      <c r="E7" s="55"/>
      <c r="F7" s="55"/>
      <c r="G7" s="94"/>
      <c r="H7" s="52"/>
      <c r="I7" s="420"/>
    </row>
    <row r="8" spans="1:9" s="147" customFormat="1" ht="27" x14ac:dyDescent="0.25">
      <c r="A8" s="145" t="s">
        <v>160</v>
      </c>
      <c r="B8" s="145" t="s">
        <v>159</v>
      </c>
      <c r="C8" s="150" t="s">
        <v>133</v>
      </c>
      <c r="D8" s="145" t="s">
        <v>158</v>
      </c>
      <c r="E8" s="145" t="s">
        <v>157</v>
      </c>
      <c r="F8" s="146" t="s">
        <v>156</v>
      </c>
      <c r="G8" s="146" t="s">
        <v>131</v>
      </c>
      <c r="H8" s="146" t="s">
        <v>155</v>
      </c>
      <c r="I8" s="421"/>
    </row>
    <row r="9" spans="1:9" s="149" customFormat="1" ht="13.5" x14ac:dyDescent="0.25">
      <c r="A9" s="148">
        <v>1</v>
      </c>
      <c r="B9" s="148">
        <v>2</v>
      </c>
      <c r="C9" s="156">
        <v>3</v>
      </c>
      <c r="D9" s="148">
        <v>4</v>
      </c>
      <c r="E9" s="148">
        <v>5</v>
      </c>
      <c r="F9" s="148">
        <v>6</v>
      </c>
      <c r="G9" s="148">
        <v>7</v>
      </c>
      <c r="H9" s="148">
        <v>8</v>
      </c>
      <c r="I9" s="422"/>
    </row>
    <row r="10" spans="1:9" s="58" customFormat="1" ht="13.5" x14ac:dyDescent="0.25">
      <c r="A10" s="70"/>
      <c r="B10" s="70"/>
      <c r="C10" s="169"/>
      <c r="D10" s="70"/>
      <c r="E10" s="72"/>
      <c r="F10" s="72"/>
      <c r="G10" s="72"/>
      <c r="I10" s="128"/>
    </row>
    <row r="11" spans="1:9" s="87" customFormat="1" ht="38.25" x14ac:dyDescent="0.25">
      <c r="A11" s="95">
        <v>1</v>
      </c>
      <c r="B11" s="64" t="s">
        <v>358</v>
      </c>
      <c r="C11" s="84" t="s">
        <v>324</v>
      </c>
      <c r="D11" s="64" t="s">
        <v>137</v>
      </c>
      <c r="E11" s="96">
        <f>'soupiska stromy'!D73</f>
        <v>242</v>
      </c>
      <c r="F11" s="64"/>
      <c r="G11" s="85"/>
      <c r="H11" s="64" t="s">
        <v>318</v>
      </c>
      <c r="I11" s="53"/>
    </row>
    <row r="12" spans="1:9" s="87" customFormat="1" ht="38.25" x14ac:dyDescent="0.25">
      <c r="A12" s="95">
        <v>2</v>
      </c>
      <c r="B12" s="64" t="s">
        <v>359</v>
      </c>
      <c r="C12" s="84" t="s">
        <v>437</v>
      </c>
      <c r="D12" s="64" t="s">
        <v>137</v>
      </c>
      <c r="E12" s="96">
        <f>'soupiska stromy'!D74</f>
        <v>6</v>
      </c>
      <c r="F12" s="64"/>
      <c r="G12" s="85"/>
      <c r="H12" s="64" t="s">
        <v>319</v>
      </c>
      <c r="I12" s="53"/>
    </row>
    <row r="13" spans="1:9" s="87" customFormat="1" ht="38.25" x14ac:dyDescent="0.25">
      <c r="A13" s="95">
        <v>3</v>
      </c>
      <c r="B13" s="64" t="s">
        <v>360</v>
      </c>
      <c r="C13" s="84" t="s">
        <v>438</v>
      </c>
      <c r="D13" s="64" t="s">
        <v>137</v>
      </c>
      <c r="E13" s="96">
        <f>'soupiska stromy'!D75</f>
        <v>81</v>
      </c>
      <c r="F13" s="64"/>
      <c r="G13" s="85"/>
      <c r="H13" s="64" t="s">
        <v>320</v>
      </c>
      <c r="I13" s="53"/>
    </row>
    <row r="14" spans="1:9" s="87" customFormat="1" ht="25.5" x14ac:dyDescent="0.25">
      <c r="A14" s="95">
        <v>4</v>
      </c>
      <c r="B14" s="64" t="s">
        <v>154</v>
      </c>
      <c r="C14" s="84" t="s">
        <v>361</v>
      </c>
      <c r="D14" s="64" t="s">
        <v>145</v>
      </c>
      <c r="E14" s="64">
        <f>((E11+E12)*0.25+(E13*0.1))</f>
        <v>70.099999999999994</v>
      </c>
      <c r="F14" s="64"/>
      <c r="G14" s="85"/>
      <c r="H14" s="64" t="s">
        <v>370</v>
      </c>
      <c r="I14" s="53"/>
    </row>
    <row r="15" spans="1:9" s="87" customFormat="1" ht="38.25" x14ac:dyDescent="0.25">
      <c r="A15" s="95">
        <v>5</v>
      </c>
      <c r="B15" s="64" t="s">
        <v>153</v>
      </c>
      <c r="C15" s="84" t="s">
        <v>374</v>
      </c>
      <c r="D15" s="64" t="s">
        <v>137</v>
      </c>
      <c r="E15" s="96">
        <f>E11</f>
        <v>242</v>
      </c>
      <c r="F15" s="64"/>
      <c r="G15" s="85"/>
      <c r="H15" s="64" t="str">
        <f>H11</f>
        <v>alejové stromy</v>
      </c>
      <c r="I15" s="53"/>
    </row>
    <row r="16" spans="1:9" s="87" customFormat="1" ht="27" x14ac:dyDescent="0.25">
      <c r="A16" s="95">
        <v>6</v>
      </c>
      <c r="B16" s="64" t="s">
        <v>362</v>
      </c>
      <c r="C16" s="134" t="s">
        <v>363</v>
      </c>
      <c r="D16" s="64" t="s">
        <v>137</v>
      </c>
      <c r="E16" s="96">
        <f>E12</f>
        <v>6</v>
      </c>
      <c r="F16" s="64"/>
      <c r="G16" s="85"/>
      <c r="H16" s="64" t="str">
        <f>H12</f>
        <v>prostokořené stromy</v>
      </c>
      <c r="I16" s="53"/>
    </row>
    <row r="17" spans="1:10" s="87" customFormat="1" ht="13.5" x14ac:dyDescent="0.25">
      <c r="A17" s="95">
        <v>7</v>
      </c>
      <c r="B17" s="64" t="s">
        <v>390</v>
      </c>
      <c r="C17" s="84" t="s">
        <v>396</v>
      </c>
      <c r="D17" s="64" t="s">
        <v>137</v>
      </c>
      <c r="E17" s="96">
        <f>'soupiska stromy'!D75</f>
        <v>81</v>
      </c>
      <c r="F17" s="64"/>
      <c r="G17" s="85"/>
      <c r="H17" s="64" t="str">
        <f>H13</f>
        <v>solitérní keře</v>
      </c>
      <c r="I17" s="53"/>
    </row>
    <row r="18" spans="1:10" s="87" customFormat="1" ht="25.5" x14ac:dyDescent="0.25">
      <c r="A18" s="95">
        <v>8</v>
      </c>
      <c r="B18" s="64" t="s">
        <v>391</v>
      </c>
      <c r="C18" s="84" t="s">
        <v>397</v>
      </c>
      <c r="D18" s="64" t="s">
        <v>142</v>
      </c>
      <c r="E18" s="64">
        <f>((0.5*E23)+(E13*0.2))</f>
        <v>140.19999999999999</v>
      </c>
      <c r="F18" s="64"/>
      <c r="G18" s="85"/>
      <c r="H18" s="64" t="s">
        <v>152</v>
      </c>
      <c r="I18" s="53"/>
    </row>
    <row r="19" spans="1:10" s="87" customFormat="1" ht="25.5" x14ac:dyDescent="0.25">
      <c r="A19" s="95">
        <v>9</v>
      </c>
      <c r="B19" s="98" t="s">
        <v>394</v>
      </c>
      <c r="C19" s="84" t="s">
        <v>364</v>
      </c>
      <c r="D19" s="64" t="s">
        <v>137</v>
      </c>
      <c r="E19" s="96">
        <f>'soupiska stromy'!D67</f>
        <v>204</v>
      </c>
      <c r="F19" s="64"/>
      <c r="G19" s="85"/>
      <c r="H19" s="64" t="str">
        <f>H17</f>
        <v>solitérní keře</v>
      </c>
      <c r="I19" s="53"/>
    </row>
    <row r="20" spans="1:10" s="87" customFormat="1" ht="25.5" x14ac:dyDescent="0.25">
      <c r="A20" s="95">
        <v>10</v>
      </c>
      <c r="B20" s="98" t="s">
        <v>456</v>
      </c>
      <c r="C20" s="84" t="s">
        <v>321</v>
      </c>
      <c r="D20" s="64" t="s">
        <v>137</v>
      </c>
      <c r="E20" s="96">
        <f>'soupiska stromy'!D68+'soupiska stromy'!D69</f>
        <v>44</v>
      </c>
      <c r="F20" s="64"/>
      <c r="G20" s="85"/>
      <c r="H20" s="64" t="str">
        <f>H18</f>
        <v xml:space="preserve"> počet stromů k výsadbě *0,5</v>
      </c>
      <c r="I20" s="53"/>
    </row>
    <row r="21" spans="1:10" s="87" customFormat="1" ht="25.5" x14ac:dyDescent="0.25">
      <c r="A21" s="95">
        <v>11</v>
      </c>
      <c r="B21" s="98" t="s">
        <v>138</v>
      </c>
      <c r="C21" s="84" t="s">
        <v>323</v>
      </c>
      <c r="D21" s="64" t="s">
        <v>137</v>
      </c>
      <c r="E21" s="96">
        <f>'soupiska stromy'!D75</f>
        <v>81</v>
      </c>
      <c r="F21" s="64"/>
      <c r="G21" s="85"/>
      <c r="H21" s="64"/>
      <c r="I21" s="53"/>
    </row>
    <row r="22" spans="1:10" s="87" customFormat="1" ht="25.5" x14ac:dyDescent="0.25">
      <c r="A22" s="95">
        <v>12</v>
      </c>
      <c r="B22" s="64" t="s">
        <v>151</v>
      </c>
      <c r="C22" s="84" t="s">
        <v>365</v>
      </c>
      <c r="D22" s="64" t="s">
        <v>150</v>
      </c>
      <c r="E22" s="64">
        <f>('soupiska stromy'!E69*0.8)+('soupiska stromy'!D70*0.3)</f>
        <v>222.70000000000002</v>
      </c>
      <c r="F22" s="64"/>
      <c r="G22" s="85"/>
      <c r="H22" s="64" t="s">
        <v>149</v>
      </c>
      <c r="I22" s="53"/>
    </row>
    <row r="23" spans="1:10" s="87" customFormat="1" ht="25.5" x14ac:dyDescent="0.25">
      <c r="A23" s="95">
        <v>13</v>
      </c>
      <c r="B23" s="64" t="s">
        <v>148</v>
      </c>
      <c r="C23" s="84" t="s">
        <v>439</v>
      </c>
      <c r="D23" s="64" t="s">
        <v>137</v>
      </c>
      <c r="E23" s="85">
        <f>E11+E12</f>
        <v>248</v>
      </c>
      <c r="F23" s="64"/>
      <c r="G23" s="85"/>
      <c r="H23" s="64" t="s">
        <v>147</v>
      </c>
      <c r="I23" s="53"/>
    </row>
    <row r="24" spans="1:10" s="87" customFormat="1" ht="25.5" x14ac:dyDescent="0.25">
      <c r="A24" s="95">
        <v>14</v>
      </c>
      <c r="B24" s="64" t="s">
        <v>366</v>
      </c>
      <c r="C24" s="84" t="s">
        <v>367</v>
      </c>
      <c r="D24" s="64" t="s">
        <v>137</v>
      </c>
      <c r="E24" s="85">
        <f>E11+E12+E13</f>
        <v>329</v>
      </c>
      <c r="F24" s="64"/>
      <c r="G24" s="85"/>
      <c r="H24" s="64" t="s">
        <v>370</v>
      </c>
      <c r="I24" s="53"/>
    </row>
    <row r="25" spans="1:10" s="87" customFormat="1" ht="25.5" x14ac:dyDescent="0.25">
      <c r="A25" s="95">
        <v>15</v>
      </c>
      <c r="B25" s="64" t="s">
        <v>369</v>
      </c>
      <c r="C25" s="84" t="s">
        <v>224</v>
      </c>
      <c r="D25" s="64" t="s">
        <v>137</v>
      </c>
      <c r="E25" s="85">
        <f>E24</f>
        <v>329</v>
      </c>
      <c r="F25" s="64"/>
      <c r="G25" s="85"/>
      <c r="H25" s="64" t="str">
        <f>H24</f>
        <v>všechny solitérní dřeviny</v>
      </c>
      <c r="I25" s="53"/>
    </row>
    <row r="26" spans="1:10" s="87" customFormat="1" ht="25.5" x14ac:dyDescent="0.25">
      <c r="A26" s="95">
        <v>16</v>
      </c>
      <c r="B26" s="64" t="s">
        <v>368</v>
      </c>
      <c r="C26" s="84" t="s">
        <v>448</v>
      </c>
      <c r="D26" s="64" t="s">
        <v>137</v>
      </c>
      <c r="E26" s="85">
        <f>'soupiska stromy'!D67</f>
        <v>204</v>
      </c>
      <c r="F26" s="64"/>
      <c r="G26" s="85"/>
      <c r="H26" s="64"/>
      <c r="I26" s="53"/>
    </row>
    <row r="27" spans="1:10" s="87" customFormat="1" ht="38.25" x14ac:dyDescent="0.25">
      <c r="A27" s="95">
        <v>17</v>
      </c>
      <c r="B27" s="64" t="s">
        <v>138</v>
      </c>
      <c r="C27" s="84" t="s">
        <v>146</v>
      </c>
      <c r="D27" s="64" t="s">
        <v>145</v>
      </c>
      <c r="E27" s="85">
        <f>E22</f>
        <v>222.70000000000002</v>
      </c>
      <c r="F27" s="85"/>
      <c r="G27" s="85"/>
      <c r="H27" s="64" t="s">
        <v>144</v>
      </c>
      <c r="I27" s="53"/>
      <c r="J27" s="87">
        <f>G27/329</f>
        <v>0</v>
      </c>
    </row>
    <row r="28" spans="1:10" s="93" customFormat="1" ht="13.5" x14ac:dyDescent="0.25">
      <c r="A28" s="99">
        <v>18</v>
      </c>
      <c r="B28" s="90" t="s">
        <v>138</v>
      </c>
      <c r="C28" s="163" t="s">
        <v>227</v>
      </c>
      <c r="D28" s="90" t="s">
        <v>357</v>
      </c>
      <c r="E28" s="91">
        <f>E23*0.07</f>
        <v>17.360000000000003</v>
      </c>
      <c r="F28" s="91"/>
      <c r="G28" s="91"/>
      <c r="H28" s="90"/>
      <c r="I28" s="423">
        <f>G28/248</f>
        <v>0</v>
      </c>
    </row>
    <row r="29" spans="1:10" s="100" customFormat="1" ht="25.5" x14ac:dyDescent="0.25">
      <c r="A29" s="99">
        <v>19</v>
      </c>
      <c r="B29" s="90" t="s">
        <v>138</v>
      </c>
      <c r="C29" s="163" t="s">
        <v>143</v>
      </c>
      <c r="D29" s="90" t="s">
        <v>142</v>
      </c>
      <c r="E29" s="90">
        <f>E18</f>
        <v>140.19999999999999</v>
      </c>
      <c r="F29" s="90"/>
      <c r="G29" s="91"/>
      <c r="H29" s="90" t="s">
        <v>141</v>
      </c>
      <c r="I29" s="423">
        <v>310</v>
      </c>
    </row>
    <row r="30" spans="1:10" s="100" customFormat="1" ht="25.5" x14ac:dyDescent="0.25">
      <c r="A30" s="99">
        <v>20</v>
      </c>
      <c r="B30" s="90" t="s">
        <v>138</v>
      </c>
      <c r="C30" s="163" t="s">
        <v>225</v>
      </c>
      <c r="D30" s="90" t="s">
        <v>150</v>
      </c>
      <c r="E30" s="90">
        <f>0.7*0.07*E25</f>
        <v>16.121000000000002</v>
      </c>
      <c r="F30" s="90"/>
      <c r="G30" s="91"/>
      <c r="H30" s="90"/>
      <c r="I30" s="423">
        <v>58</v>
      </c>
    </row>
    <row r="31" spans="1:10" s="100" customFormat="1" ht="51" x14ac:dyDescent="0.25">
      <c r="A31" s="99">
        <v>21</v>
      </c>
      <c r="B31" s="90" t="s">
        <v>138</v>
      </c>
      <c r="C31" s="163" t="s">
        <v>371</v>
      </c>
      <c r="D31" s="90" t="s">
        <v>137</v>
      </c>
      <c r="E31" s="90">
        <f>(E19*3)+E20</f>
        <v>656</v>
      </c>
      <c r="F31" s="90"/>
      <c r="G31" s="91"/>
      <c r="H31" s="90"/>
      <c r="I31" s="423"/>
    </row>
    <row r="32" spans="1:10" s="100" customFormat="1" ht="38.25" x14ac:dyDescent="0.25">
      <c r="A32" s="99">
        <v>22</v>
      </c>
      <c r="B32" s="90" t="s">
        <v>138</v>
      </c>
      <c r="C32" s="163" t="s">
        <v>375</v>
      </c>
      <c r="D32" s="90" t="s">
        <v>137</v>
      </c>
      <c r="E32" s="90">
        <f>E11*6</f>
        <v>1452</v>
      </c>
      <c r="F32" s="90"/>
      <c r="G32" s="91"/>
      <c r="H32" s="90"/>
      <c r="I32" s="423"/>
    </row>
    <row r="33" spans="1:10" s="100" customFormat="1" ht="25.5" x14ac:dyDescent="0.25">
      <c r="A33" s="99">
        <v>23</v>
      </c>
      <c r="B33" s="90" t="s">
        <v>138</v>
      </c>
      <c r="C33" s="163" t="s">
        <v>372</v>
      </c>
      <c r="D33" s="90" t="s">
        <v>137</v>
      </c>
      <c r="E33" s="90">
        <f>E21*3</f>
        <v>243</v>
      </c>
      <c r="F33" s="90"/>
      <c r="G33" s="91"/>
      <c r="H33" s="90"/>
      <c r="I33" s="423"/>
      <c r="J33" s="100">
        <f>G33/81</f>
        <v>0</v>
      </c>
    </row>
    <row r="34" spans="1:10" s="100" customFormat="1" ht="13.5" x14ac:dyDescent="0.25">
      <c r="A34" s="99">
        <v>24</v>
      </c>
      <c r="B34" s="90" t="s">
        <v>138</v>
      </c>
      <c r="C34" s="163" t="s">
        <v>447</v>
      </c>
      <c r="D34" s="90" t="s">
        <v>140</v>
      </c>
      <c r="E34" s="90">
        <f>E26*3</f>
        <v>612</v>
      </c>
      <c r="F34" s="90"/>
      <c r="G34" s="91"/>
      <c r="H34" s="90"/>
      <c r="I34" s="423"/>
    </row>
    <row r="35" spans="1:10" s="100" customFormat="1" ht="25.5" x14ac:dyDescent="0.25">
      <c r="A35" s="99">
        <v>25</v>
      </c>
      <c r="B35" s="90" t="s">
        <v>138</v>
      </c>
      <c r="C35" s="163" t="s">
        <v>226</v>
      </c>
      <c r="D35" s="90" t="s">
        <v>140</v>
      </c>
      <c r="E35" s="90">
        <f>((E11*3)+(E12))</f>
        <v>732</v>
      </c>
      <c r="F35" s="90"/>
      <c r="G35" s="91"/>
      <c r="H35" s="90" t="s">
        <v>139</v>
      </c>
      <c r="I35" s="423"/>
    </row>
    <row r="36" spans="1:10" s="100" customFormat="1" ht="13.5" x14ac:dyDescent="0.25">
      <c r="A36" s="99">
        <v>26</v>
      </c>
      <c r="B36" s="90" t="s">
        <v>138</v>
      </c>
      <c r="C36" s="163" t="s">
        <v>322</v>
      </c>
      <c r="D36" s="90" t="s">
        <v>137</v>
      </c>
      <c r="E36" s="91">
        <f>E23</f>
        <v>248</v>
      </c>
      <c r="F36" s="90"/>
      <c r="G36" s="91"/>
      <c r="H36" s="90"/>
      <c r="I36" s="423"/>
    </row>
    <row r="37" spans="1:10" s="100" customFormat="1" ht="38.25" x14ac:dyDescent="0.25">
      <c r="A37" s="99">
        <v>27</v>
      </c>
      <c r="B37" s="90" t="s">
        <v>138</v>
      </c>
      <c r="C37" s="163" t="s">
        <v>376</v>
      </c>
      <c r="D37" s="90" t="s">
        <v>249</v>
      </c>
      <c r="E37" s="91">
        <f>(4.5*0.5)*'soupiska stromy'!D75</f>
        <v>182.25</v>
      </c>
      <c r="F37" s="90"/>
      <c r="G37" s="91"/>
      <c r="H37" s="90"/>
      <c r="I37" s="423"/>
      <c r="J37" s="100">
        <f>G37/81</f>
        <v>0</v>
      </c>
    </row>
    <row r="38" spans="1:10" s="104" customFormat="1" ht="15.75" x14ac:dyDescent="0.25">
      <c r="A38" s="99">
        <v>28</v>
      </c>
      <c r="B38" s="101" t="s">
        <v>138</v>
      </c>
      <c r="C38" s="137" t="s">
        <v>162</v>
      </c>
      <c r="D38" s="101" t="s">
        <v>387</v>
      </c>
      <c r="E38" s="102">
        <f>E27</f>
        <v>222.70000000000002</v>
      </c>
      <c r="F38" s="103"/>
      <c r="G38" s="91"/>
      <c r="H38" s="101"/>
      <c r="I38" s="424"/>
    </row>
    <row r="39" spans="1:10" s="93" customFormat="1" ht="25.5" x14ac:dyDescent="0.25">
      <c r="A39" s="99">
        <v>29</v>
      </c>
      <c r="B39" s="90" t="s">
        <v>138</v>
      </c>
      <c r="C39" s="163" t="s">
        <v>373</v>
      </c>
      <c r="D39" s="90" t="s">
        <v>137</v>
      </c>
      <c r="E39" s="91">
        <v>1</v>
      </c>
      <c r="F39" s="91"/>
      <c r="G39" s="91"/>
      <c r="H39" s="90" t="s">
        <v>136</v>
      </c>
      <c r="I39" s="423"/>
    </row>
    <row r="40" spans="1:10" s="87" customFormat="1" x14ac:dyDescent="0.25">
      <c r="B40" s="105"/>
      <c r="C40" s="172"/>
      <c r="D40" s="105"/>
      <c r="E40" s="106"/>
      <c r="F40" s="106"/>
      <c r="G40" s="106"/>
      <c r="H40" s="105"/>
      <c r="I40" s="53"/>
    </row>
    <row r="41" spans="1:10" s="87" customFormat="1" x14ac:dyDescent="0.25">
      <c r="A41" s="107"/>
      <c r="B41" s="107"/>
      <c r="C41" s="173" t="s">
        <v>124</v>
      </c>
      <c r="D41" s="107"/>
      <c r="E41" s="108"/>
      <c r="F41" s="108"/>
      <c r="G41" s="108"/>
      <c r="I41" s="53"/>
    </row>
    <row r="42" spans="1:10" s="87" customFormat="1" x14ac:dyDescent="0.25">
      <c r="A42" s="109"/>
      <c r="B42" s="109"/>
      <c r="C42" s="174" t="s">
        <v>135</v>
      </c>
      <c r="D42" s="109"/>
      <c r="E42" s="110"/>
      <c r="F42" s="110"/>
      <c r="G42" s="110"/>
      <c r="I42" s="53"/>
    </row>
    <row r="43" spans="1:10" s="87" customFormat="1" x14ac:dyDescent="0.25">
      <c r="A43" s="111"/>
      <c r="B43" s="111"/>
      <c r="C43" s="175" t="s">
        <v>124</v>
      </c>
      <c r="D43" s="111"/>
      <c r="E43" s="112"/>
      <c r="F43" s="112"/>
      <c r="G43" s="112"/>
      <c r="I43" s="53"/>
    </row>
    <row r="86" spans="8:9" x14ac:dyDescent="0.25">
      <c r="I86" s="425">
        <f>SUM(F79:F86)</f>
        <v>0</v>
      </c>
    </row>
    <row r="87" spans="8:9" x14ac:dyDescent="0.25">
      <c r="H87" s="87">
        <f>SUM(H79:H86)</f>
        <v>0</v>
      </c>
    </row>
  </sheetData>
  <mergeCells count="1">
    <mergeCell ref="A1:G1"/>
  </mergeCells>
  <phoneticPr fontId="4"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130" zoomScaleNormal="100" zoomScaleSheetLayoutView="130" workbookViewId="0">
      <selection activeCell="C17" sqref="C17"/>
    </sheetView>
  </sheetViews>
  <sheetFormatPr defaultRowHeight="13.5" x14ac:dyDescent="0.25"/>
  <cols>
    <col min="1" max="1" width="8.7109375" style="192" customWidth="1"/>
    <col min="2" max="2" width="8.28515625" style="192" customWidth="1"/>
    <col min="3" max="3" width="34.7109375" style="143" customWidth="1"/>
    <col min="4" max="4" width="3.140625" style="192" customWidth="1"/>
    <col min="5" max="5" width="10.140625" style="214" customWidth="1"/>
    <col min="6" max="6" width="13.42578125" style="192" customWidth="1"/>
    <col min="7" max="7" width="8" style="215" customWidth="1"/>
    <col min="8" max="8" width="12.28515625" style="216" customWidth="1"/>
    <col min="9" max="16384" width="9.140625" style="144"/>
  </cols>
  <sheetData>
    <row r="1" spans="1:13" s="158" customFormat="1" ht="22.5" x14ac:dyDescent="0.25">
      <c r="A1" s="594" t="s">
        <v>496</v>
      </c>
      <c r="B1" s="594"/>
      <c r="C1" s="594"/>
      <c r="D1" s="594"/>
      <c r="E1" s="594"/>
      <c r="F1" s="594"/>
      <c r="G1" s="594"/>
      <c r="H1" s="159"/>
    </row>
    <row r="2" spans="1:13" s="22" customFormat="1" ht="12.75" x14ac:dyDescent="0.25">
      <c r="A2" s="22" t="s">
        <v>393</v>
      </c>
      <c r="B2" s="22" t="s">
        <v>190</v>
      </c>
      <c r="C2" s="218"/>
      <c r="E2" s="241"/>
      <c r="F2" s="217"/>
      <c r="G2" s="217"/>
      <c r="H2" s="217"/>
    </row>
    <row r="3" spans="1:13" s="225" customFormat="1" ht="15" x14ac:dyDescent="0.3">
      <c r="A3" s="219" t="s">
        <v>181</v>
      </c>
      <c r="B3" s="219" t="s">
        <v>422</v>
      </c>
      <c r="C3" s="242"/>
      <c r="D3" s="221"/>
      <c r="E3" s="243"/>
      <c r="F3" s="223"/>
      <c r="G3" s="223"/>
      <c r="H3" s="223"/>
    </row>
    <row r="4" spans="1:13" s="232" customFormat="1" ht="12.75" x14ac:dyDescent="0.2">
      <c r="A4" s="226" t="s">
        <v>180</v>
      </c>
      <c r="B4" s="226" t="s">
        <v>256</v>
      </c>
      <c r="C4" s="244"/>
      <c r="D4" s="228"/>
      <c r="E4" s="245"/>
      <c r="F4" s="230"/>
      <c r="G4" s="230"/>
      <c r="H4" s="230"/>
    </row>
    <row r="5" spans="1:13" s="232" customFormat="1" ht="12.75" x14ac:dyDescent="0.2">
      <c r="A5" s="226" t="s">
        <v>392</v>
      </c>
      <c r="B5" s="226"/>
      <c r="C5" s="244"/>
      <c r="D5" s="228"/>
      <c r="E5" s="245"/>
      <c r="F5" s="230"/>
      <c r="G5" s="230"/>
      <c r="H5" s="230"/>
    </row>
    <row r="6" spans="1:13" s="232" customFormat="1" ht="12.75" x14ac:dyDescent="0.2">
      <c r="A6" s="226" t="s">
        <v>221</v>
      </c>
      <c r="B6" s="233" t="s">
        <v>222</v>
      </c>
      <c r="C6" s="244"/>
      <c r="D6" s="228"/>
      <c r="E6" s="245"/>
      <c r="F6" s="230"/>
      <c r="G6" s="230"/>
      <c r="H6" s="230"/>
    </row>
    <row r="7" spans="1:13" s="69" customFormat="1" x14ac:dyDescent="0.25">
      <c r="C7" s="128"/>
      <c r="E7" s="129"/>
      <c r="F7" s="130"/>
      <c r="G7" s="65"/>
      <c r="H7" s="58"/>
    </row>
    <row r="8" spans="1:13" s="147" customFormat="1" ht="27" x14ac:dyDescent="0.25">
      <c r="A8" s="145" t="s">
        <v>160</v>
      </c>
      <c r="B8" s="145" t="s">
        <v>159</v>
      </c>
      <c r="C8" s="150" t="s">
        <v>133</v>
      </c>
      <c r="D8" s="145" t="s">
        <v>158</v>
      </c>
      <c r="E8" s="155" t="s">
        <v>157</v>
      </c>
      <c r="F8" s="146" t="s">
        <v>156</v>
      </c>
      <c r="G8" s="148" t="s">
        <v>131</v>
      </c>
      <c r="H8" s="146" t="s">
        <v>155</v>
      </c>
    </row>
    <row r="9" spans="1:13" s="149" customFormat="1" x14ac:dyDescent="0.25">
      <c r="A9" s="148">
        <v>1</v>
      </c>
      <c r="B9" s="148">
        <v>2</v>
      </c>
      <c r="C9" s="156">
        <v>3</v>
      </c>
      <c r="D9" s="148">
        <v>4</v>
      </c>
      <c r="E9" s="155">
        <v>5</v>
      </c>
      <c r="F9" s="148">
        <v>6</v>
      </c>
      <c r="G9" s="148">
        <v>7</v>
      </c>
      <c r="H9" s="148">
        <v>8</v>
      </c>
    </row>
    <row r="10" spans="1:13" s="60" customFormat="1" x14ac:dyDescent="0.25">
      <c r="C10" s="61"/>
      <c r="E10" s="62"/>
      <c r="H10" s="131"/>
    </row>
    <row r="11" spans="1:13" s="59" customFormat="1" ht="27" x14ac:dyDescent="0.25">
      <c r="A11" s="126">
        <v>1</v>
      </c>
      <c r="B11" s="126" t="s">
        <v>377</v>
      </c>
      <c r="C11" s="63" t="s">
        <v>405</v>
      </c>
      <c r="D11" s="125" t="s">
        <v>384</v>
      </c>
      <c r="E11" s="300">
        <f>E13*0.15</f>
        <v>352.2</v>
      </c>
      <c r="F11" s="126"/>
      <c r="G11" s="126"/>
      <c r="H11" s="126" t="s">
        <v>379</v>
      </c>
      <c r="M11" s="59">
        <f>F11+F12+F13+F14+F15+F16+F19+63+55+5.3</f>
        <v>123.3</v>
      </c>
    </row>
    <row r="12" spans="1:13" s="59" customFormat="1" ht="27" x14ac:dyDescent="0.25">
      <c r="A12" s="126">
        <v>2</v>
      </c>
      <c r="B12" s="126" t="s">
        <v>138</v>
      </c>
      <c r="C12" s="63" t="s">
        <v>378</v>
      </c>
      <c r="D12" s="125" t="s">
        <v>248</v>
      </c>
      <c r="E12" s="300">
        <f>(E11*0.15)*1.8</f>
        <v>95.093999999999994</v>
      </c>
      <c r="F12" s="126"/>
      <c r="G12" s="126"/>
      <c r="H12" s="126" t="s">
        <v>380</v>
      </c>
    </row>
    <row r="13" spans="1:13" s="59" customFormat="1" ht="27" x14ac:dyDescent="0.25">
      <c r="A13" s="126">
        <v>3</v>
      </c>
      <c r="B13" s="126" t="s">
        <v>253</v>
      </c>
      <c r="C13" s="63" t="s">
        <v>406</v>
      </c>
      <c r="D13" s="125" t="s">
        <v>385</v>
      </c>
      <c r="E13" s="300">
        <f>E15</f>
        <v>2348</v>
      </c>
      <c r="F13" s="126"/>
      <c r="G13" s="126"/>
      <c r="H13" s="125" t="s">
        <v>166</v>
      </c>
    </row>
    <row r="14" spans="1:13" s="121" customFormat="1" ht="27" x14ac:dyDescent="0.25">
      <c r="A14" s="126">
        <v>4</v>
      </c>
      <c r="B14" s="125" t="s">
        <v>382</v>
      </c>
      <c r="C14" s="134" t="s">
        <v>167</v>
      </c>
      <c r="D14" s="125" t="s">
        <v>385</v>
      </c>
      <c r="E14" s="133">
        <f>E19</f>
        <v>2348</v>
      </c>
      <c r="F14" s="301"/>
      <c r="G14" s="126"/>
      <c r="H14" s="125" t="s">
        <v>166</v>
      </c>
      <c r="J14" s="472"/>
    </row>
    <row r="15" spans="1:13" s="121" customFormat="1" ht="27" x14ac:dyDescent="0.25">
      <c r="A15" s="126">
        <v>5</v>
      </c>
      <c r="B15" s="125" t="s">
        <v>383</v>
      </c>
      <c r="C15" s="134" t="s">
        <v>165</v>
      </c>
      <c r="D15" s="125" t="s">
        <v>385</v>
      </c>
      <c r="E15" s="133">
        <f>'soupiska keře'!D16</f>
        <v>2348</v>
      </c>
      <c r="F15" s="301"/>
      <c r="G15" s="126"/>
      <c r="H15" s="125" t="str">
        <f>H14</f>
        <v>součet ploch záhonů</v>
      </c>
    </row>
    <row r="16" spans="1:13" s="121" customFormat="1" ht="27" x14ac:dyDescent="0.25">
      <c r="A16" s="126"/>
      <c r="B16" s="125" t="s">
        <v>381</v>
      </c>
      <c r="C16" s="134" t="s">
        <v>407</v>
      </c>
      <c r="D16" s="125" t="s">
        <v>386</v>
      </c>
      <c r="E16" s="133">
        <f>E14</f>
        <v>2348</v>
      </c>
      <c r="F16" s="301"/>
      <c r="G16" s="126"/>
      <c r="H16" s="125" t="str">
        <f>H15</f>
        <v>součet ploch záhonů</v>
      </c>
    </row>
    <row r="17" spans="1:12" s="121" customFormat="1" ht="38.25" customHeight="1" x14ac:dyDescent="0.25">
      <c r="A17" s="126">
        <v>6</v>
      </c>
      <c r="B17" s="125" t="s">
        <v>390</v>
      </c>
      <c r="C17" s="134" t="s">
        <v>388</v>
      </c>
      <c r="D17" s="125" t="s">
        <v>137</v>
      </c>
      <c r="E17" s="133">
        <f>'soupiska keře'!D67+'soupiska keře'!D68+'soupiska keře'!D69</f>
        <v>6087</v>
      </c>
      <c r="F17" s="301"/>
      <c r="G17" s="126"/>
      <c r="H17" s="125" t="s">
        <v>356</v>
      </c>
    </row>
    <row r="18" spans="1:12" s="121" customFormat="1" x14ac:dyDescent="0.25">
      <c r="A18" s="126">
        <v>8</v>
      </c>
      <c r="B18" s="125" t="s">
        <v>398</v>
      </c>
      <c r="C18" s="132" t="s">
        <v>399</v>
      </c>
      <c r="D18" s="125" t="s">
        <v>137</v>
      </c>
      <c r="E18" s="133">
        <f>E17</f>
        <v>6087</v>
      </c>
      <c r="F18" s="301"/>
      <c r="G18" s="126"/>
      <c r="H18" s="125" t="str">
        <f>H17</f>
        <v>keře</v>
      </c>
      <c r="I18" s="302"/>
    </row>
    <row r="19" spans="1:12" s="121" customFormat="1" ht="27" x14ac:dyDescent="0.25">
      <c r="A19" s="126">
        <v>10</v>
      </c>
      <c r="B19" s="64" t="s">
        <v>369</v>
      </c>
      <c r="C19" s="134" t="s">
        <v>400</v>
      </c>
      <c r="D19" s="125" t="s">
        <v>385</v>
      </c>
      <c r="E19" s="133">
        <f>'soupiska keře'!D16</f>
        <v>2348</v>
      </c>
      <c r="F19" s="301"/>
      <c r="G19" s="126"/>
      <c r="H19" s="125" t="s">
        <v>401</v>
      </c>
    </row>
    <row r="20" spans="1:12" s="58" customFormat="1" ht="27" x14ac:dyDescent="0.25">
      <c r="A20" s="126">
        <v>13</v>
      </c>
      <c r="B20" s="125" t="s">
        <v>138</v>
      </c>
      <c r="C20" s="134" t="s">
        <v>146</v>
      </c>
      <c r="D20" s="125" t="s">
        <v>384</v>
      </c>
      <c r="E20" s="133">
        <f>E19*15/1000</f>
        <v>35.22</v>
      </c>
      <c r="F20" s="135"/>
      <c r="G20" s="126"/>
      <c r="H20" s="125" t="s">
        <v>402</v>
      </c>
      <c r="I20" s="58">
        <f>G20/E15</f>
        <v>0</v>
      </c>
    </row>
    <row r="21" spans="1:12" s="121" customFormat="1" x14ac:dyDescent="0.25">
      <c r="A21" s="126"/>
      <c r="B21" s="125" t="s">
        <v>138</v>
      </c>
      <c r="C21" s="134" t="s">
        <v>236</v>
      </c>
      <c r="D21" s="125" t="s">
        <v>140</v>
      </c>
      <c r="E21" s="133">
        <v>30</v>
      </c>
      <c r="F21" s="301"/>
      <c r="G21" s="126"/>
      <c r="H21" s="125" t="s">
        <v>404</v>
      </c>
    </row>
    <row r="22" spans="1:12" s="478" customFormat="1" ht="42.75" x14ac:dyDescent="0.25">
      <c r="A22" s="473">
        <v>11</v>
      </c>
      <c r="B22" s="474" t="s">
        <v>138</v>
      </c>
      <c r="C22" s="475" t="s">
        <v>227</v>
      </c>
      <c r="D22" s="474" t="s">
        <v>461</v>
      </c>
      <c r="E22" s="476">
        <f>(E13*0.05)</f>
        <v>117.4</v>
      </c>
      <c r="F22" s="477"/>
      <c r="G22" s="473"/>
      <c r="H22" s="474"/>
      <c r="J22" s="478">
        <f>I20+I26</f>
        <v>0</v>
      </c>
      <c r="L22" s="478">
        <f>G22/E13</f>
        <v>0</v>
      </c>
    </row>
    <row r="23" spans="1:12" s="478" customFormat="1" ht="42.75" x14ac:dyDescent="0.25">
      <c r="A23" s="473">
        <v>12</v>
      </c>
      <c r="B23" s="474" t="s">
        <v>138</v>
      </c>
      <c r="C23" s="475" t="s">
        <v>254</v>
      </c>
      <c r="D23" s="474" t="s">
        <v>461</v>
      </c>
      <c r="E23" s="476">
        <f>E19*0.07</f>
        <v>164.36</v>
      </c>
      <c r="F23" s="477"/>
      <c r="G23" s="473"/>
      <c r="H23" s="474"/>
      <c r="L23" s="478">
        <f>G23/E14</f>
        <v>0</v>
      </c>
    </row>
    <row r="24" spans="1:12" s="478" customFormat="1" x14ac:dyDescent="0.25">
      <c r="A24" s="473">
        <v>13</v>
      </c>
      <c r="B24" s="474" t="s">
        <v>138</v>
      </c>
      <c r="C24" s="475" t="s">
        <v>408</v>
      </c>
      <c r="D24" s="474" t="s">
        <v>140</v>
      </c>
      <c r="E24" s="476">
        <v>30</v>
      </c>
      <c r="F24" s="477"/>
      <c r="G24" s="473"/>
      <c r="H24" s="474"/>
    </row>
    <row r="25" spans="1:12" s="478" customFormat="1" x14ac:dyDescent="0.25">
      <c r="A25" s="473">
        <v>14</v>
      </c>
      <c r="B25" s="474" t="s">
        <v>138</v>
      </c>
      <c r="C25" s="475" t="s">
        <v>255</v>
      </c>
      <c r="D25" s="474" t="s">
        <v>140</v>
      </c>
      <c r="E25" s="476">
        <v>10</v>
      </c>
      <c r="F25" s="477"/>
      <c r="G25" s="473"/>
      <c r="H25" s="474"/>
    </row>
    <row r="26" spans="1:12" s="478" customFormat="1" ht="42.75" x14ac:dyDescent="0.25">
      <c r="A26" s="473">
        <v>15</v>
      </c>
      <c r="B26" s="474" t="s">
        <v>138</v>
      </c>
      <c r="C26" s="475" t="s">
        <v>162</v>
      </c>
      <c r="D26" s="474" t="s">
        <v>461</v>
      </c>
      <c r="E26" s="476">
        <f>E20</f>
        <v>35.22</v>
      </c>
      <c r="F26" s="477"/>
      <c r="G26" s="473"/>
      <c r="H26" s="474"/>
      <c r="I26" s="478">
        <f>G26/E15</f>
        <v>0</v>
      </c>
    </row>
    <row r="27" spans="1:12" s="480" customFormat="1" x14ac:dyDescent="0.25">
      <c r="A27" s="473">
        <v>16</v>
      </c>
      <c r="B27" s="474" t="s">
        <v>138</v>
      </c>
      <c r="C27" s="479" t="s">
        <v>403</v>
      </c>
      <c r="D27" s="474" t="s">
        <v>125</v>
      </c>
      <c r="E27" s="476">
        <f>E14*0.003</f>
        <v>7.0440000000000005</v>
      </c>
      <c r="F27" s="474"/>
      <c r="G27" s="473"/>
      <c r="H27" s="474"/>
    </row>
    <row r="28" spans="1:12" s="139" customFormat="1" x14ac:dyDescent="0.25">
      <c r="A28" s="216"/>
      <c r="B28" s="213"/>
      <c r="C28" s="138"/>
      <c r="D28" s="213"/>
      <c r="E28" s="305"/>
      <c r="F28" s="213"/>
      <c r="G28" s="306"/>
      <c r="H28" s="213"/>
    </row>
    <row r="29" spans="1:12" s="58" customFormat="1" x14ac:dyDescent="0.25">
      <c r="A29" s="307"/>
      <c r="B29" s="307"/>
      <c r="C29" s="168">
        <f>C10</f>
        <v>0</v>
      </c>
      <c r="D29" s="307"/>
      <c r="E29" s="308"/>
      <c r="F29" s="309"/>
      <c r="G29" s="310"/>
    </row>
    <row r="30" spans="1:12" s="58" customFormat="1" x14ac:dyDescent="0.25">
      <c r="A30" s="70"/>
      <c r="B30" s="70"/>
      <c r="C30" s="169" t="s">
        <v>135</v>
      </c>
      <c r="D30" s="70"/>
      <c r="E30" s="71"/>
      <c r="F30" s="72"/>
      <c r="G30" s="73"/>
    </row>
    <row r="31" spans="1:12" s="58" customFormat="1" x14ac:dyDescent="0.25">
      <c r="A31" s="74"/>
      <c r="B31" s="74"/>
      <c r="C31" s="170" t="s">
        <v>124</v>
      </c>
      <c r="D31" s="74"/>
      <c r="E31" s="75"/>
      <c r="F31" s="76"/>
      <c r="G31" s="77"/>
    </row>
    <row r="75" spans="8:9" x14ac:dyDescent="0.25">
      <c r="I75" s="144">
        <f>SUM(F68:F75)</f>
        <v>0</v>
      </c>
    </row>
    <row r="76" spans="8:9" x14ac:dyDescent="0.25">
      <c r="H76" s="216">
        <f>SUM(H68:H75)</f>
        <v>0</v>
      </c>
    </row>
  </sheetData>
  <mergeCells count="1">
    <mergeCell ref="A1:G1"/>
  </mergeCells>
  <phoneticPr fontId="4"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130" zoomScaleNormal="100" zoomScaleSheetLayoutView="130" workbookViewId="0">
      <selection activeCell="J25" sqref="J25"/>
    </sheetView>
  </sheetViews>
  <sheetFormatPr defaultRowHeight="13.5" x14ac:dyDescent="0.25"/>
  <cols>
    <col min="1" max="1" width="8.7109375" style="192" customWidth="1"/>
    <col min="2" max="2" width="8.28515625" style="192" customWidth="1"/>
    <col min="3" max="3" width="34.7109375" style="143" customWidth="1"/>
    <col min="4" max="4" width="3.140625" style="192" customWidth="1"/>
    <col min="5" max="5" width="10.140625" style="214" customWidth="1"/>
    <col min="6" max="6" width="13.42578125" style="192" customWidth="1"/>
    <col min="7" max="7" width="8" style="215" customWidth="1"/>
    <col min="8" max="8" width="12.28515625" style="216" customWidth="1"/>
    <col min="9" max="16384" width="9.140625" style="144"/>
  </cols>
  <sheetData>
    <row r="1" spans="1:10" s="158" customFormat="1" ht="22.5" x14ac:dyDescent="0.25">
      <c r="A1" s="594" t="s">
        <v>496</v>
      </c>
      <c r="B1" s="594"/>
      <c r="C1" s="594"/>
      <c r="D1" s="594"/>
      <c r="E1" s="594"/>
      <c r="F1" s="594"/>
      <c r="G1" s="594"/>
      <c r="H1" s="159"/>
    </row>
    <row r="2" spans="1:10" s="22" customFormat="1" ht="12.75" x14ac:dyDescent="0.25">
      <c r="A2" s="22" t="s">
        <v>393</v>
      </c>
      <c r="B2" s="22" t="s">
        <v>190</v>
      </c>
      <c r="C2" s="218"/>
      <c r="E2" s="241"/>
      <c r="F2" s="217"/>
      <c r="G2" s="217"/>
      <c r="H2" s="217"/>
    </row>
    <row r="3" spans="1:10" s="225" customFormat="1" ht="15" x14ac:dyDescent="0.3">
      <c r="A3" s="219" t="s">
        <v>181</v>
      </c>
      <c r="B3" s="219" t="s">
        <v>422</v>
      </c>
      <c r="C3" s="242"/>
      <c r="D3" s="221"/>
      <c r="E3" s="243"/>
      <c r="F3" s="223"/>
      <c r="G3" s="223"/>
      <c r="H3" s="223"/>
    </row>
    <row r="4" spans="1:10" s="225" customFormat="1" ht="15" x14ac:dyDescent="0.3">
      <c r="A4" s="219"/>
      <c r="B4" s="219" t="s">
        <v>449</v>
      </c>
      <c r="C4" s="242"/>
      <c r="D4" s="221"/>
      <c r="E4" s="243"/>
      <c r="F4" s="223"/>
      <c r="G4" s="223"/>
      <c r="H4" s="223"/>
    </row>
    <row r="5" spans="1:10" s="232" customFormat="1" ht="12.75" x14ac:dyDescent="0.2">
      <c r="A5" s="226" t="s">
        <v>180</v>
      </c>
      <c r="B5" s="226" t="s">
        <v>256</v>
      </c>
      <c r="C5" s="244"/>
      <c r="D5" s="228"/>
      <c r="E5" s="245"/>
      <c r="F5" s="230"/>
      <c r="G5" s="230"/>
      <c r="H5" s="230"/>
    </row>
    <row r="6" spans="1:10" s="232" customFormat="1" ht="12.75" x14ac:dyDescent="0.2">
      <c r="A6" s="226" t="s">
        <v>392</v>
      </c>
      <c r="B6" s="226"/>
      <c r="C6" s="244"/>
      <c r="D6" s="228"/>
      <c r="E6" s="245"/>
      <c r="F6" s="230"/>
      <c r="G6" s="230"/>
      <c r="H6" s="230"/>
    </row>
    <row r="7" spans="1:10" s="232" customFormat="1" ht="12.75" x14ac:dyDescent="0.2">
      <c r="A7" s="226" t="s">
        <v>221</v>
      </c>
      <c r="B7" s="233" t="s">
        <v>222</v>
      </c>
      <c r="C7" s="244"/>
      <c r="D7" s="228"/>
      <c r="E7" s="245"/>
      <c r="F7" s="230"/>
      <c r="G7" s="230"/>
      <c r="H7" s="230"/>
    </row>
    <row r="8" spans="1:10" s="69" customFormat="1" x14ac:dyDescent="0.25">
      <c r="C8" s="128"/>
      <c r="E8" s="129"/>
      <c r="F8" s="130"/>
      <c r="G8" s="65"/>
      <c r="H8" s="58"/>
    </row>
    <row r="9" spans="1:10" s="147" customFormat="1" ht="27" x14ac:dyDescent="0.25">
      <c r="A9" s="145" t="s">
        <v>160</v>
      </c>
      <c r="B9" s="145" t="s">
        <v>159</v>
      </c>
      <c r="C9" s="150" t="s">
        <v>133</v>
      </c>
      <c r="D9" s="145" t="s">
        <v>158</v>
      </c>
      <c r="E9" s="155" t="s">
        <v>157</v>
      </c>
      <c r="F9" s="146" t="s">
        <v>156</v>
      </c>
      <c r="G9" s="148" t="s">
        <v>131</v>
      </c>
      <c r="H9" s="146" t="s">
        <v>155</v>
      </c>
    </row>
    <row r="10" spans="1:10" s="149" customFormat="1" x14ac:dyDescent="0.25">
      <c r="A10" s="148">
        <v>1</v>
      </c>
      <c r="B10" s="148">
        <v>2</v>
      </c>
      <c r="C10" s="156">
        <v>3</v>
      </c>
      <c r="D10" s="148">
        <v>4</v>
      </c>
      <c r="E10" s="155">
        <v>5</v>
      </c>
      <c r="F10" s="148">
        <v>6</v>
      </c>
      <c r="G10" s="148">
        <v>7</v>
      </c>
      <c r="H10" s="148">
        <v>8</v>
      </c>
    </row>
    <row r="11" spans="1:10" s="60" customFormat="1" x14ac:dyDescent="0.25">
      <c r="C11" s="61"/>
      <c r="E11" s="62"/>
      <c r="H11" s="131"/>
    </row>
    <row r="12" spans="1:10" s="121" customFormat="1" ht="40.5" x14ac:dyDescent="0.25">
      <c r="A12" s="126">
        <v>7</v>
      </c>
      <c r="B12" s="125" t="s">
        <v>391</v>
      </c>
      <c r="C12" s="171" t="s">
        <v>389</v>
      </c>
      <c r="D12" s="125" t="s">
        <v>137</v>
      </c>
      <c r="E12" s="133">
        <f>'soupiska keře'!D70</f>
        <v>1545</v>
      </c>
      <c r="F12" s="301"/>
      <c r="G12" s="136"/>
      <c r="H12" s="125" t="s">
        <v>259</v>
      </c>
    </row>
    <row r="13" spans="1:10" s="123" customFormat="1" x14ac:dyDescent="0.25">
      <c r="A13" s="126">
        <v>9</v>
      </c>
      <c r="B13" s="125" t="s">
        <v>457</v>
      </c>
      <c r="C13" s="132" t="s">
        <v>164</v>
      </c>
      <c r="D13" s="125" t="s">
        <v>137</v>
      </c>
      <c r="E13" s="133">
        <f>E12</f>
        <v>1545</v>
      </c>
      <c r="F13" s="125"/>
      <c r="G13" s="136"/>
      <c r="H13" s="125" t="str">
        <f>H12</f>
        <v>trvalky</v>
      </c>
      <c r="J13" s="303"/>
    </row>
    <row r="14" spans="1:10" s="139" customFormat="1" x14ac:dyDescent="0.25">
      <c r="A14" s="216"/>
      <c r="B14" s="213"/>
      <c r="C14" s="138"/>
      <c r="D14" s="213"/>
      <c r="E14" s="305"/>
      <c r="F14" s="213"/>
      <c r="G14" s="306"/>
      <c r="H14" s="213"/>
    </row>
    <row r="15" spans="1:10" s="58" customFormat="1" x14ac:dyDescent="0.25">
      <c r="A15" s="307"/>
      <c r="B15" s="307"/>
      <c r="C15" s="168">
        <f>C11</f>
        <v>0</v>
      </c>
      <c r="D15" s="307"/>
      <c r="E15" s="308"/>
      <c r="F15" s="309"/>
      <c r="G15" s="310"/>
    </row>
    <row r="16" spans="1:10" s="58" customFormat="1" x14ac:dyDescent="0.25">
      <c r="A16" s="70"/>
      <c r="B16" s="70"/>
      <c r="C16" s="169" t="s">
        <v>135</v>
      </c>
      <c r="D16" s="70"/>
      <c r="E16" s="71"/>
      <c r="F16" s="72"/>
      <c r="G16" s="73"/>
    </row>
    <row r="17" spans="1:7" s="58" customFormat="1" x14ac:dyDescent="0.25">
      <c r="A17" s="74"/>
      <c r="B17" s="74"/>
      <c r="C17" s="170" t="s">
        <v>124</v>
      </c>
      <c r="D17" s="74"/>
      <c r="E17" s="75"/>
      <c r="F17" s="76"/>
      <c r="G17" s="77"/>
    </row>
    <row r="61" spans="8:9" x14ac:dyDescent="0.25">
      <c r="I61" s="144">
        <f>SUM(F54:F61)</f>
        <v>0</v>
      </c>
    </row>
    <row r="62" spans="8:9" x14ac:dyDescent="0.25">
      <c r="H62" s="216">
        <f>SUM(H54:H61)</f>
        <v>0</v>
      </c>
    </row>
  </sheetData>
  <mergeCells count="1">
    <mergeCell ref="A1:G1"/>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130" zoomScaleNormal="100" zoomScaleSheetLayoutView="130" workbookViewId="0">
      <selection activeCell="J25" sqref="J25"/>
    </sheetView>
  </sheetViews>
  <sheetFormatPr defaultRowHeight="16.5" x14ac:dyDescent="0.3"/>
  <cols>
    <col min="1" max="1" width="8.7109375" style="178" customWidth="1"/>
    <col min="2" max="2" width="8.28515625" style="178" customWidth="1"/>
    <col min="3" max="3" width="33.7109375" style="162" customWidth="1"/>
    <col min="4" max="4" width="3.140625" style="178" customWidth="1"/>
    <col min="5" max="5" width="10" style="210" customWidth="1"/>
    <col min="6" max="6" width="8.5703125" style="178" customWidth="1"/>
    <col min="7" max="7" width="8" style="211" customWidth="1"/>
    <col min="8" max="8" width="12.28515625" style="212" customWidth="1"/>
    <col min="9" max="16384" width="9.140625" style="67"/>
  </cols>
  <sheetData>
    <row r="1" spans="1:8" s="158" customFormat="1" ht="22.5" x14ac:dyDescent="0.25">
      <c r="A1" s="594" t="s">
        <v>496</v>
      </c>
      <c r="B1" s="594"/>
      <c r="C1" s="594"/>
      <c r="D1" s="594"/>
      <c r="E1" s="594"/>
      <c r="F1" s="594"/>
      <c r="G1" s="594"/>
      <c r="H1" s="159"/>
    </row>
    <row r="2" spans="1:8" s="22" customFormat="1" ht="12.75" x14ac:dyDescent="0.25">
      <c r="A2" s="22" t="s">
        <v>393</v>
      </c>
      <c r="B2" s="22" t="s">
        <v>190</v>
      </c>
      <c r="E2" s="241"/>
      <c r="F2" s="217"/>
      <c r="G2" s="217"/>
      <c r="H2" s="217"/>
    </row>
    <row r="3" spans="1:8" s="225" customFormat="1" ht="15" x14ac:dyDescent="0.3">
      <c r="A3" s="219" t="s">
        <v>181</v>
      </c>
      <c r="B3" s="219" t="s">
        <v>423</v>
      </c>
      <c r="C3" s="220"/>
      <c r="D3" s="221"/>
      <c r="E3" s="243"/>
      <c r="F3" s="223"/>
      <c r="G3" s="223"/>
      <c r="H3" s="223"/>
    </row>
    <row r="4" spans="1:8" s="232" customFormat="1" ht="12.75" x14ac:dyDescent="0.2">
      <c r="A4" s="226" t="s">
        <v>180</v>
      </c>
      <c r="B4" s="226" t="s">
        <v>191</v>
      </c>
      <c r="C4" s="227"/>
      <c r="D4" s="228"/>
      <c r="E4" s="245"/>
      <c r="F4" s="230"/>
      <c r="G4" s="230"/>
      <c r="H4" s="230"/>
    </row>
    <row r="5" spans="1:8" s="232" customFormat="1" ht="12.75" x14ac:dyDescent="0.2">
      <c r="A5" s="226" t="s">
        <v>392</v>
      </c>
      <c r="B5" s="226"/>
      <c r="C5" s="227"/>
      <c r="D5" s="228"/>
      <c r="E5" s="245"/>
      <c r="F5" s="230"/>
      <c r="G5" s="230"/>
      <c r="H5" s="230"/>
    </row>
    <row r="6" spans="1:8" s="232" customFormat="1" ht="12.75" x14ac:dyDescent="0.2">
      <c r="A6" s="226" t="s">
        <v>221</v>
      </c>
      <c r="B6" s="233" t="s">
        <v>222</v>
      </c>
      <c r="C6" s="227"/>
      <c r="D6" s="228"/>
      <c r="E6" s="245"/>
      <c r="F6" s="230"/>
      <c r="G6" s="230"/>
      <c r="H6" s="230"/>
    </row>
    <row r="7" spans="1:8" s="57" customFormat="1" ht="12.75" x14ac:dyDescent="0.25">
      <c r="A7" s="52"/>
      <c r="B7" s="52"/>
      <c r="C7" s="53"/>
      <c r="D7" s="52"/>
      <c r="E7" s="54"/>
      <c r="F7" s="55"/>
      <c r="G7" s="56"/>
      <c r="H7" s="87"/>
    </row>
    <row r="8" spans="1:8" s="147" customFormat="1" ht="27" x14ac:dyDescent="0.25">
      <c r="A8" s="145" t="s">
        <v>160</v>
      </c>
      <c r="B8" s="145" t="s">
        <v>159</v>
      </c>
      <c r="C8" s="150" t="s">
        <v>133</v>
      </c>
      <c r="D8" s="145" t="s">
        <v>158</v>
      </c>
      <c r="E8" s="155" t="s">
        <v>157</v>
      </c>
      <c r="F8" s="146" t="s">
        <v>156</v>
      </c>
      <c r="G8" s="148" t="s">
        <v>131</v>
      </c>
      <c r="H8" s="146" t="s">
        <v>155</v>
      </c>
    </row>
    <row r="9" spans="1:8" s="149" customFormat="1" ht="13.5" x14ac:dyDescent="0.25">
      <c r="A9" s="148">
        <v>1</v>
      </c>
      <c r="B9" s="148">
        <v>2</v>
      </c>
      <c r="C9" s="156">
        <v>3</v>
      </c>
      <c r="D9" s="148">
        <v>4</v>
      </c>
      <c r="E9" s="155">
        <v>5</v>
      </c>
      <c r="F9" s="148">
        <v>6</v>
      </c>
      <c r="G9" s="148">
        <v>7</v>
      </c>
      <c r="H9" s="148">
        <v>8</v>
      </c>
    </row>
    <row r="10" spans="1:8" s="60" customFormat="1" ht="13.5" x14ac:dyDescent="0.25">
      <c r="C10" s="124"/>
      <c r="E10" s="62"/>
    </row>
    <row r="11" spans="1:8" s="59" customFormat="1" ht="27" x14ac:dyDescent="0.25">
      <c r="A11" s="126">
        <v>1</v>
      </c>
      <c r="B11" s="126" t="s">
        <v>377</v>
      </c>
      <c r="C11" s="63" t="s">
        <v>405</v>
      </c>
      <c r="D11" s="125" t="s">
        <v>384</v>
      </c>
      <c r="E11" s="300">
        <v>80</v>
      </c>
      <c r="F11" s="126"/>
      <c r="G11" s="126"/>
      <c r="H11" s="126" t="s">
        <v>379</v>
      </c>
    </row>
    <row r="12" spans="1:8" s="59" customFormat="1" ht="27" x14ac:dyDescent="0.25">
      <c r="A12" s="126">
        <v>2</v>
      </c>
      <c r="B12" s="126" t="s">
        <v>138</v>
      </c>
      <c r="C12" s="63" t="s">
        <v>378</v>
      </c>
      <c r="D12" s="125" t="s">
        <v>248</v>
      </c>
      <c r="E12" s="300">
        <f>(E11*0.15)*1.8</f>
        <v>21.6</v>
      </c>
      <c r="F12" s="126"/>
      <c r="G12" s="126"/>
      <c r="H12" s="126" t="s">
        <v>380</v>
      </c>
    </row>
    <row r="13" spans="1:8" s="59" customFormat="1" ht="27" x14ac:dyDescent="0.25">
      <c r="A13" s="126">
        <v>3</v>
      </c>
      <c r="B13" s="126" t="s">
        <v>253</v>
      </c>
      <c r="C13" s="63" t="s">
        <v>406</v>
      </c>
      <c r="D13" s="125" t="s">
        <v>385</v>
      </c>
      <c r="E13" s="300">
        <f>E11</f>
        <v>80</v>
      </c>
      <c r="F13" s="126"/>
      <c r="G13" s="126"/>
      <c r="H13" s="125" t="s">
        <v>166</v>
      </c>
    </row>
    <row r="14" spans="1:8" s="121" customFormat="1" ht="40.5" x14ac:dyDescent="0.25">
      <c r="A14" s="126">
        <v>4</v>
      </c>
      <c r="B14" s="125" t="s">
        <v>382</v>
      </c>
      <c r="C14" s="134" t="s">
        <v>167</v>
      </c>
      <c r="D14" s="125" t="s">
        <v>385</v>
      </c>
      <c r="E14" s="133">
        <f>E11</f>
        <v>80</v>
      </c>
      <c r="F14" s="301"/>
      <c r="G14" s="126"/>
      <c r="H14" s="125" t="s">
        <v>166</v>
      </c>
    </row>
    <row r="15" spans="1:8" s="121" customFormat="1" ht="27" x14ac:dyDescent="0.25">
      <c r="A15" s="126">
        <v>5</v>
      </c>
      <c r="B15" s="125" t="s">
        <v>383</v>
      </c>
      <c r="C15" s="134" t="s">
        <v>165</v>
      </c>
      <c r="D15" s="125" t="s">
        <v>385</v>
      </c>
      <c r="E15" s="133">
        <f>E11</f>
        <v>80</v>
      </c>
      <c r="F15" s="301"/>
      <c r="G15" s="126"/>
      <c r="H15" s="125" t="str">
        <f>H14</f>
        <v>součet ploch záhonů</v>
      </c>
    </row>
    <row r="16" spans="1:8" s="121" customFormat="1" ht="27" x14ac:dyDescent="0.25">
      <c r="A16" s="126">
        <v>6</v>
      </c>
      <c r="B16" s="125" t="s">
        <v>381</v>
      </c>
      <c r="C16" s="134" t="s">
        <v>407</v>
      </c>
      <c r="D16" s="125" t="s">
        <v>386</v>
      </c>
      <c r="E16" s="133">
        <f>E14</f>
        <v>80</v>
      </c>
      <c r="F16" s="301"/>
      <c r="G16" s="126"/>
      <c r="H16" s="125" t="str">
        <f>H15</f>
        <v>součet ploch záhonů</v>
      </c>
    </row>
    <row r="17" spans="1:8" s="59" customFormat="1" ht="15.75" x14ac:dyDescent="0.25">
      <c r="A17" s="126">
        <v>7</v>
      </c>
      <c r="B17" s="126" t="s">
        <v>458</v>
      </c>
      <c r="C17" s="63" t="s">
        <v>409</v>
      </c>
      <c r="D17" s="125" t="s">
        <v>386</v>
      </c>
      <c r="E17" s="300">
        <f>E16</f>
        <v>80</v>
      </c>
      <c r="F17" s="126"/>
      <c r="G17" s="126"/>
      <c r="H17" s="126"/>
    </row>
    <row r="18" spans="1:8" s="59" customFormat="1" ht="15.75" x14ac:dyDescent="0.25">
      <c r="A18" s="126">
        <v>8</v>
      </c>
      <c r="B18" s="126" t="s">
        <v>383</v>
      </c>
      <c r="C18" s="63" t="s">
        <v>410</v>
      </c>
      <c r="D18" s="125" t="s">
        <v>386</v>
      </c>
      <c r="E18" s="300">
        <f>E17</f>
        <v>80</v>
      </c>
      <c r="F18" s="126"/>
      <c r="G18" s="126"/>
      <c r="H18" s="126"/>
    </row>
    <row r="19" spans="1:8" s="59" customFormat="1" ht="15.75" x14ac:dyDescent="0.25">
      <c r="A19" s="126">
        <v>9</v>
      </c>
      <c r="B19" s="126" t="s">
        <v>459</v>
      </c>
      <c r="C19" s="63" t="s">
        <v>412</v>
      </c>
      <c r="D19" s="125" t="s">
        <v>386</v>
      </c>
      <c r="E19" s="300">
        <f>E18</f>
        <v>80</v>
      </c>
      <c r="F19" s="126"/>
      <c r="G19" s="126"/>
      <c r="H19" s="126"/>
    </row>
    <row r="20" spans="1:8" s="93" customFormat="1" ht="25.5" x14ac:dyDescent="0.25">
      <c r="A20" s="304">
        <v>10</v>
      </c>
      <c r="B20" s="90" t="s">
        <v>138</v>
      </c>
      <c r="C20" s="163" t="s">
        <v>227</v>
      </c>
      <c r="D20" s="90" t="s">
        <v>237</v>
      </c>
      <c r="E20" s="316">
        <f>E13*0.04</f>
        <v>3.2</v>
      </c>
      <c r="F20" s="91"/>
      <c r="G20" s="126"/>
      <c r="H20" s="90"/>
    </row>
    <row r="21" spans="1:8" s="93" customFormat="1" ht="25.5" x14ac:dyDescent="0.25">
      <c r="A21" s="304">
        <v>11</v>
      </c>
      <c r="B21" s="90" t="s">
        <v>138</v>
      </c>
      <c r="C21" s="163" t="s">
        <v>411</v>
      </c>
      <c r="D21" s="90" t="s">
        <v>237</v>
      </c>
      <c r="E21" s="316">
        <f>E11/100*0.5</f>
        <v>0.4</v>
      </c>
      <c r="F21" s="91"/>
      <c r="G21" s="126"/>
      <c r="H21" s="90"/>
    </row>
    <row r="22" spans="1:8" s="93" customFormat="1" ht="25.5" x14ac:dyDescent="0.25">
      <c r="A22" s="304">
        <v>12</v>
      </c>
      <c r="B22" s="90" t="s">
        <v>138</v>
      </c>
      <c r="C22" s="163" t="s">
        <v>232</v>
      </c>
      <c r="D22" s="90" t="s">
        <v>237</v>
      </c>
      <c r="E22" s="316">
        <f>84*0.05</f>
        <v>4.2</v>
      </c>
      <c r="F22" s="91"/>
      <c r="G22" s="126"/>
      <c r="H22" s="90"/>
    </row>
    <row r="23" spans="1:8" s="318" customFormat="1" ht="13.5" x14ac:dyDescent="0.25">
      <c r="A23" s="304">
        <v>13</v>
      </c>
      <c r="B23" s="90" t="s">
        <v>138</v>
      </c>
      <c r="C23" s="317" t="s">
        <v>161</v>
      </c>
      <c r="D23" s="90" t="s">
        <v>125</v>
      </c>
      <c r="E23" s="316">
        <f>E13*0.003</f>
        <v>0.24</v>
      </c>
      <c r="F23" s="90"/>
      <c r="G23" s="126"/>
      <c r="H23" s="90"/>
    </row>
    <row r="24" spans="1:8" s="311" customFormat="1" ht="13.5" x14ac:dyDescent="0.25">
      <c r="A24" s="312"/>
      <c r="B24" s="275"/>
      <c r="C24" s="274"/>
      <c r="D24" s="275"/>
      <c r="E24" s="313"/>
      <c r="F24" s="275"/>
      <c r="G24" s="312"/>
      <c r="H24" s="275"/>
    </row>
    <row r="25" spans="1:8" s="58" customFormat="1" ht="13.5" x14ac:dyDescent="0.25">
      <c r="A25" s="307"/>
      <c r="B25" s="307"/>
      <c r="C25" s="168">
        <f>C10</f>
        <v>0</v>
      </c>
      <c r="D25" s="307"/>
      <c r="E25" s="308"/>
      <c r="F25" s="309"/>
      <c r="G25" s="310"/>
    </row>
    <row r="26" spans="1:8" s="58" customFormat="1" ht="13.5" x14ac:dyDescent="0.25">
      <c r="A26" s="70"/>
      <c r="B26" s="70"/>
      <c r="C26" s="169" t="s">
        <v>135</v>
      </c>
      <c r="D26" s="70"/>
      <c r="E26" s="71"/>
      <c r="F26" s="72"/>
      <c r="G26" s="73"/>
    </row>
    <row r="27" spans="1:8" s="58" customFormat="1" ht="13.5" x14ac:dyDescent="0.25">
      <c r="A27" s="74"/>
      <c r="B27" s="74"/>
      <c r="C27" s="170" t="s">
        <v>124</v>
      </c>
      <c r="D27" s="74"/>
      <c r="E27" s="75"/>
      <c r="F27" s="76"/>
      <c r="G27" s="77"/>
    </row>
    <row r="28" spans="1:8" s="68" customFormat="1" x14ac:dyDescent="0.3">
      <c r="A28" s="212"/>
      <c r="B28" s="212"/>
      <c r="D28" s="212"/>
      <c r="E28" s="314"/>
      <c r="F28" s="212"/>
      <c r="G28" s="315"/>
      <c r="H28" s="212"/>
    </row>
    <row r="74" spans="8:9" x14ac:dyDescent="0.3">
      <c r="I74" s="67">
        <f>SUM(F67:F74)</f>
        <v>0</v>
      </c>
    </row>
    <row r="75" spans="8:9" x14ac:dyDescent="0.3">
      <c r="H75" s="212">
        <f>SUM(H67:H74)</f>
        <v>0</v>
      </c>
    </row>
  </sheetData>
  <mergeCells count="1">
    <mergeCell ref="A1:G1"/>
  </mergeCells>
  <phoneticPr fontId="4" type="noConversion"/>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view="pageBreakPreview" zoomScale="130" zoomScaleNormal="100" zoomScaleSheetLayoutView="130" workbookViewId="0">
      <selection activeCell="D69" sqref="D69"/>
    </sheetView>
  </sheetViews>
  <sheetFormatPr defaultRowHeight="13.5" x14ac:dyDescent="0.25"/>
  <cols>
    <col min="1" max="1" width="17.28515625" style="282" customWidth="1"/>
    <col min="2" max="2" width="22.28515625" style="141" customWidth="1"/>
    <col min="3" max="3" width="3.85546875" style="191" bestFit="1" customWidth="1"/>
    <col min="4" max="4" width="17.85546875" style="191" customWidth="1"/>
    <col min="5" max="5" width="10.7109375" style="142" bestFit="1" customWidth="1"/>
    <col min="6" max="6" width="7.5703125" style="140" bestFit="1" customWidth="1"/>
    <col min="7" max="7" width="8.5703125" style="142" bestFit="1" customWidth="1"/>
    <col min="8" max="8" width="5.28515625" style="78" bestFit="1" customWidth="1"/>
    <col min="9" max="16384" width="9.140625" style="78"/>
  </cols>
  <sheetData>
    <row r="1" spans="1:9" s="299" customFormat="1" ht="22.5" x14ac:dyDescent="0.45">
      <c r="A1" s="294" t="s">
        <v>496</v>
      </c>
      <c r="B1" s="295"/>
      <c r="C1" s="296"/>
      <c r="D1" s="296"/>
      <c r="E1" s="297"/>
      <c r="F1" s="298"/>
      <c r="G1" s="297"/>
    </row>
    <row r="2" spans="1:9" s="22" customFormat="1" ht="12.75" x14ac:dyDescent="0.25">
      <c r="A2" s="22" t="s">
        <v>327</v>
      </c>
      <c r="B2" s="22" t="s">
        <v>190</v>
      </c>
      <c r="E2" s="290"/>
      <c r="G2" s="290"/>
    </row>
    <row r="3" spans="1:9" s="236" customFormat="1" ht="15" x14ac:dyDescent="0.3">
      <c r="A3" s="234" t="s">
        <v>181</v>
      </c>
      <c r="B3" s="234" t="s">
        <v>424</v>
      </c>
      <c r="C3" s="291"/>
      <c r="D3" s="235"/>
      <c r="E3" s="292"/>
      <c r="F3" s="235"/>
      <c r="G3" s="292"/>
    </row>
    <row r="4" spans="1:9" s="239" customFormat="1" ht="12.75" x14ac:dyDescent="0.2">
      <c r="A4" s="237" t="s">
        <v>180</v>
      </c>
      <c r="B4" s="237" t="s">
        <v>191</v>
      </c>
      <c r="C4" s="240"/>
      <c r="D4" s="238"/>
      <c r="E4" s="293"/>
      <c r="F4" s="238"/>
      <c r="G4" s="293"/>
    </row>
    <row r="5" spans="1:9" s="239" customFormat="1" ht="12.75" x14ac:dyDescent="0.2">
      <c r="A5" s="237" t="s">
        <v>392</v>
      </c>
      <c r="B5" s="237"/>
      <c r="C5" s="240"/>
      <c r="D5" s="238"/>
      <c r="E5" s="293"/>
      <c r="F5" s="238"/>
      <c r="G5" s="293"/>
    </row>
    <row r="6" spans="1:9" s="239" customFormat="1" ht="12.75" x14ac:dyDescent="0.2">
      <c r="A6" s="237" t="s">
        <v>221</v>
      </c>
      <c r="B6" s="240" t="s">
        <v>222</v>
      </c>
      <c r="C6" s="240"/>
      <c r="D6" s="238"/>
      <c r="E6" s="293"/>
      <c r="F6" s="238"/>
      <c r="G6" s="293"/>
    </row>
    <row r="7" spans="1:9" s="115" customFormat="1" x14ac:dyDescent="0.25">
      <c r="A7" s="119"/>
      <c r="B7" s="283"/>
      <c r="E7" s="116"/>
      <c r="F7" s="117"/>
      <c r="G7" s="116"/>
      <c r="I7" s="120"/>
    </row>
    <row r="8" spans="1:9" s="153" customFormat="1" ht="30.75" customHeight="1" x14ac:dyDescent="0.25">
      <c r="A8" s="324" t="s">
        <v>173</v>
      </c>
      <c r="B8" s="324" t="s">
        <v>172</v>
      </c>
      <c r="C8" s="325" t="s">
        <v>171</v>
      </c>
      <c r="D8" s="325" t="s">
        <v>60</v>
      </c>
      <c r="E8" s="326" t="s">
        <v>170</v>
      </c>
      <c r="F8" s="325" t="s">
        <v>169</v>
      </c>
      <c r="G8" s="326" t="s">
        <v>168</v>
      </c>
    </row>
    <row r="9" spans="1:9" s="154" customFormat="1" x14ac:dyDescent="0.25">
      <c r="A9" s="327" t="s">
        <v>192</v>
      </c>
      <c r="B9" s="324"/>
      <c r="C9" s="328"/>
      <c r="D9" s="328"/>
      <c r="E9" s="329"/>
      <c r="F9" s="328"/>
      <c r="G9" s="329"/>
    </row>
    <row r="10" spans="1:9" x14ac:dyDescent="0.25">
      <c r="A10" s="276" t="s">
        <v>93</v>
      </c>
      <c r="B10" s="284" t="s">
        <v>94</v>
      </c>
      <c r="C10" s="187" t="s">
        <v>187</v>
      </c>
      <c r="D10" s="198" t="s">
        <v>188</v>
      </c>
      <c r="E10" s="199">
        <f>'soupiska stromy'!F9</f>
        <v>2</v>
      </c>
      <c r="F10" s="200"/>
      <c r="G10" s="136"/>
    </row>
    <row r="11" spans="1:9" x14ac:dyDescent="0.25">
      <c r="A11" s="276" t="s">
        <v>293</v>
      </c>
      <c r="B11" s="284" t="s">
        <v>292</v>
      </c>
      <c r="C11" s="187" t="s">
        <v>187</v>
      </c>
      <c r="D11" s="198" t="s">
        <v>188</v>
      </c>
      <c r="E11" s="199">
        <f>'soupiska stromy'!F10</f>
        <v>4</v>
      </c>
      <c r="F11" s="200"/>
      <c r="G11" s="136"/>
    </row>
    <row r="12" spans="1:9" x14ac:dyDescent="0.25">
      <c r="A12" s="276"/>
      <c r="B12" s="284"/>
      <c r="C12" s="187"/>
      <c r="D12" s="198"/>
      <c r="E12" s="199">
        <f>SUM(E10:E11)</f>
        <v>6</v>
      </c>
      <c r="F12" s="200"/>
      <c r="G12" s="136"/>
    </row>
    <row r="13" spans="1:9" x14ac:dyDescent="0.25">
      <c r="A13" s="276" t="s">
        <v>193</v>
      </c>
      <c r="B13" s="284"/>
      <c r="C13" s="187"/>
      <c r="D13" s="198"/>
      <c r="E13" s="199"/>
      <c r="F13" s="200"/>
      <c r="G13" s="136"/>
    </row>
    <row r="14" spans="1:9" x14ac:dyDescent="0.25">
      <c r="A14" s="276" t="s">
        <v>62</v>
      </c>
      <c r="B14" s="284" t="s">
        <v>54</v>
      </c>
      <c r="C14" s="187" t="s">
        <v>179</v>
      </c>
      <c r="D14" s="198" t="s">
        <v>185</v>
      </c>
      <c r="E14" s="199">
        <f>'soupiska stromy'!F13</f>
        <v>13</v>
      </c>
      <c r="F14" s="200"/>
      <c r="G14" s="136"/>
    </row>
    <row r="15" spans="1:9" x14ac:dyDescent="0.25">
      <c r="A15" s="276" t="s">
        <v>45</v>
      </c>
      <c r="B15" s="284" t="s">
        <v>44</v>
      </c>
      <c r="C15" s="187" t="s">
        <v>179</v>
      </c>
      <c r="D15" s="198" t="s">
        <v>186</v>
      </c>
      <c r="E15" s="199">
        <f>'soupiska stromy'!F14</f>
        <v>14</v>
      </c>
      <c r="F15" s="200"/>
      <c r="G15" s="136"/>
    </row>
    <row r="16" spans="1:9" x14ac:dyDescent="0.25">
      <c r="A16" s="276" t="s">
        <v>63</v>
      </c>
      <c r="B16" s="284" t="s">
        <v>46</v>
      </c>
      <c r="C16" s="187" t="s">
        <v>179</v>
      </c>
      <c r="D16" s="198" t="s">
        <v>186</v>
      </c>
      <c r="E16" s="199">
        <f>'soupiska stromy'!F15</f>
        <v>15</v>
      </c>
      <c r="F16" s="200"/>
      <c r="G16" s="136"/>
    </row>
    <row r="17" spans="1:7" x14ac:dyDescent="0.25">
      <c r="A17" s="276" t="s">
        <v>276</v>
      </c>
      <c r="B17" s="284" t="s">
        <v>413</v>
      </c>
      <c r="C17" s="187" t="s">
        <v>179</v>
      </c>
      <c r="D17" s="198" t="s">
        <v>186</v>
      </c>
      <c r="E17" s="199">
        <f>'soupiska stromy'!F16</f>
        <v>4</v>
      </c>
      <c r="F17" s="200"/>
      <c r="G17" s="136"/>
    </row>
    <row r="18" spans="1:7" x14ac:dyDescent="0.25">
      <c r="A18" s="276" t="s">
        <v>77</v>
      </c>
      <c r="B18" s="284" t="s">
        <v>414</v>
      </c>
      <c r="C18" s="187" t="s">
        <v>179</v>
      </c>
      <c r="D18" s="198" t="s">
        <v>184</v>
      </c>
      <c r="E18" s="199">
        <f>'soupiska stromy'!F17</f>
        <v>3</v>
      </c>
      <c r="F18" s="200"/>
      <c r="G18" s="136"/>
    </row>
    <row r="19" spans="1:7" x14ac:dyDescent="0.25">
      <c r="A19" s="276" t="s">
        <v>312</v>
      </c>
      <c r="B19" s="284" t="s">
        <v>415</v>
      </c>
      <c r="C19" s="187" t="s">
        <v>179</v>
      </c>
      <c r="D19" s="198" t="s">
        <v>184</v>
      </c>
      <c r="E19" s="199">
        <f>'soupiska stromy'!F18</f>
        <v>3</v>
      </c>
      <c r="F19" s="200"/>
      <c r="G19" s="136"/>
    </row>
    <row r="20" spans="1:7" x14ac:dyDescent="0.25">
      <c r="A20" s="276" t="s">
        <v>71</v>
      </c>
      <c r="B20" s="284" t="s">
        <v>56</v>
      </c>
      <c r="C20" s="187" t="s">
        <v>179</v>
      </c>
      <c r="D20" s="198" t="s">
        <v>184</v>
      </c>
      <c r="E20" s="199">
        <f>'soupiska stromy'!F19</f>
        <v>8</v>
      </c>
      <c r="F20" s="200"/>
      <c r="G20" s="136"/>
    </row>
    <row r="21" spans="1:7" x14ac:dyDescent="0.25">
      <c r="A21" s="276" t="s">
        <v>69</v>
      </c>
      <c r="B21" s="284" t="s">
        <v>55</v>
      </c>
      <c r="C21" s="187" t="s">
        <v>179</v>
      </c>
      <c r="D21" s="198" t="s">
        <v>184</v>
      </c>
      <c r="E21" s="199">
        <f>'soupiska stromy'!F20</f>
        <v>11</v>
      </c>
      <c r="F21" s="200"/>
      <c r="G21" s="136"/>
    </row>
    <row r="22" spans="1:7" x14ac:dyDescent="0.25">
      <c r="A22" s="276" t="s">
        <v>78</v>
      </c>
      <c r="B22" s="284" t="s">
        <v>79</v>
      </c>
      <c r="C22" s="187" t="s">
        <v>179</v>
      </c>
      <c r="D22" s="198" t="s">
        <v>184</v>
      </c>
      <c r="E22" s="199">
        <f>'soupiska stromy'!F21</f>
        <v>8</v>
      </c>
      <c r="F22" s="200"/>
      <c r="G22" s="136"/>
    </row>
    <row r="23" spans="1:7" x14ac:dyDescent="0.25">
      <c r="A23" s="276" t="s">
        <v>61</v>
      </c>
      <c r="B23" s="284" t="s">
        <v>50</v>
      </c>
      <c r="C23" s="187" t="s">
        <v>179</v>
      </c>
      <c r="D23" s="198" t="s">
        <v>184</v>
      </c>
      <c r="E23" s="199">
        <f>'soupiska stromy'!F22</f>
        <v>8</v>
      </c>
      <c r="F23" s="200"/>
      <c r="G23" s="136"/>
    </row>
    <row r="24" spans="1:7" x14ac:dyDescent="0.25">
      <c r="A24" s="387" t="s">
        <v>446</v>
      </c>
      <c r="B24" s="8" t="s">
        <v>445</v>
      </c>
      <c r="C24" s="187" t="s">
        <v>444</v>
      </c>
      <c r="D24" s="198" t="s">
        <v>184</v>
      </c>
      <c r="E24" s="199">
        <f>'soupiska stromy'!F23</f>
        <v>5</v>
      </c>
      <c r="F24" s="200"/>
      <c r="G24" s="136"/>
    </row>
    <row r="25" spans="1:7" x14ac:dyDescent="0.25">
      <c r="A25" s="276" t="s">
        <v>82</v>
      </c>
      <c r="B25" s="284" t="s">
        <v>84</v>
      </c>
      <c r="C25" s="187" t="s">
        <v>179</v>
      </c>
      <c r="D25" s="198" t="s">
        <v>184</v>
      </c>
      <c r="E25" s="199">
        <f>'soupiska stromy'!F25</f>
        <v>1</v>
      </c>
      <c r="F25" s="200"/>
      <c r="G25" s="136"/>
    </row>
    <row r="26" spans="1:7" x14ac:dyDescent="0.25">
      <c r="A26" s="276" t="s">
        <v>308</v>
      </c>
      <c r="B26" s="284" t="s">
        <v>307</v>
      </c>
      <c r="C26" s="187" t="s">
        <v>179</v>
      </c>
      <c r="D26" s="198" t="s">
        <v>184</v>
      </c>
      <c r="E26" s="199">
        <f>'soupiska stromy'!F26</f>
        <v>1</v>
      </c>
      <c r="F26" s="200"/>
      <c r="G26" s="136"/>
    </row>
    <row r="27" spans="1:7" ht="27" x14ac:dyDescent="0.25">
      <c r="A27" s="276" t="s">
        <v>87</v>
      </c>
      <c r="B27" s="284" t="s">
        <v>86</v>
      </c>
      <c r="C27" s="187" t="s">
        <v>179</v>
      </c>
      <c r="D27" s="198" t="s">
        <v>436</v>
      </c>
      <c r="E27" s="199">
        <f>'soupiska stromy'!F27</f>
        <v>1</v>
      </c>
      <c r="F27" s="200"/>
      <c r="G27" s="136"/>
    </row>
    <row r="28" spans="1:7" ht="27" x14ac:dyDescent="0.25">
      <c r="A28" s="276" t="s">
        <v>72</v>
      </c>
      <c r="B28" s="284" t="s">
        <v>59</v>
      </c>
      <c r="C28" s="187" t="s">
        <v>179</v>
      </c>
      <c r="D28" s="198" t="s">
        <v>436</v>
      </c>
      <c r="E28" s="199">
        <f>'soupiska stromy'!F28</f>
        <v>4</v>
      </c>
      <c r="F28" s="200"/>
      <c r="G28" s="136"/>
    </row>
    <row r="29" spans="1:7" x14ac:dyDescent="0.25">
      <c r="A29" s="276" t="s">
        <v>66</v>
      </c>
      <c r="B29" s="284" t="s">
        <v>49</v>
      </c>
      <c r="C29" s="187" t="s">
        <v>179</v>
      </c>
      <c r="D29" s="198" t="s">
        <v>186</v>
      </c>
      <c r="E29" s="199">
        <f>'soupiska stromy'!F29</f>
        <v>2</v>
      </c>
      <c r="F29" s="200"/>
      <c r="G29" s="136"/>
    </row>
    <row r="30" spans="1:7" ht="27" x14ac:dyDescent="0.25">
      <c r="A30" s="276" t="s">
        <v>70</v>
      </c>
      <c r="B30" s="284" t="s">
        <v>57</v>
      </c>
      <c r="C30" s="187" t="s">
        <v>179</v>
      </c>
      <c r="D30" s="198" t="s">
        <v>436</v>
      </c>
      <c r="E30" s="199">
        <f>'soupiska stromy'!F30</f>
        <v>6</v>
      </c>
      <c r="F30" s="200"/>
      <c r="G30" s="136"/>
    </row>
    <row r="31" spans="1:7" x14ac:dyDescent="0.25">
      <c r="A31" s="276" t="s">
        <v>83</v>
      </c>
      <c r="B31" s="284" t="s">
        <v>53</v>
      </c>
      <c r="C31" s="187" t="s">
        <v>179</v>
      </c>
      <c r="D31" s="198" t="s">
        <v>189</v>
      </c>
      <c r="E31" s="199">
        <f>'soupiska stromy'!F31</f>
        <v>2</v>
      </c>
      <c r="F31" s="200"/>
      <c r="G31" s="136"/>
    </row>
    <row r="32" spans="1:7" x14ac:dyDescent="0.25">
      <c r="A32" s="276" t="s">
        <v>65</v>
      </c>
      <c r="B32" s="284" t="s">
        <v>48</v>
      </c>
      <c r="C32" s="187" t="s">
        <v>179</v>
      </c>
      <c r="D32" s="198" t="s">
        <v>184</v>
      </c>
      <c r="E32" s="199">
        <f>'soupiska stromy'!F32</f>
        <v>5</v>
      </c>
      <c r="F32" s="200"/>
      <c r="G32" s="136"/>
    </row>
    <row r="33" spans="1:7" x14ac:dyDescent="0.25">
      <c r="A33" s="276" t="s">
        <v>278</v>
      </c>
      <c r="B33" s="284" t="s">
        <v>277</v>
      </c>
      <c r="C33" s="187" t="s">
        <v>179</v>
      </c>
      <c r="D33" s="198" t="s">
        <v>184</v>
      </c>
      <c r="E33" s="199">
        <f>'soupiska stromy'!F33</f>
        <v>3</v>
      </c>
      <c r="F33" s="200"/>
      <c r="G33" s="136"/>
    </row>
    <row r="34" spans="1:7" x14ac:dyDescent="0.25">
      <c r="A34" s="276" t="s">
        <v>67</v>
      </c>
      <c r="B34" s="284" t="s">
        <v>51</v>
      </c>
      <c r="C34" s="187" t="s">
        <v>179</v>
      </c>
      <c r="D34" s="198" t="s">
        <v>184</v>
      </c>
      <c r="E34" s="199">
        <f>'soupiska stromy'!F34</f>
        <v>28</v>
      </c>
      <c r="F34" s="200"/>
      <c r="G34" s="136"/>
    </row>
    <row r="35" spans="1:7" x14ac:dyDescent="0.25">
      <c r="A35" s="276" t="s">
        <v>68</v>
      </c>
      <c r="B35" s="284" t="s">
        <v>52</v>
      </c>
      <c r="C35" s="187" t="s">
        <v>179</v>
      </c>
      <c r="D35" s="198" t="s">
        <v>184</v>
      </c>
      <c r="E35" s="199">
        <f>'soupiska stromy'!F35</f>
        <v>18</v>
      </c>
      <c r="F35" s="200"/>
      <c r="G35" s="136"/>
    </row>
    <row r="36" spans="1:7" x14ac:dyDescent="0.25">
      <c r="A36" s="276" t="s">
        <v>80</v>
      </c>
      <c r="B36" s="284" t="s">
        <v>81</v>
      </c>
      <c r="C36" s="187" t="s">
        <v>179</v>
      </c>
      <c r="D36" s="198" t="s">
        <v>182</v>
      </c>
      <c r="E36" s="199">
        <f>'soupiska stromy'!F36</f>
        <v>3</v>
      </c>
      <c r="F36" s="200"/>
      <c r="G36" s="136"/>
    </row>
    <row r="37" spans="1:7" x14ac:dyDescent="0.25">
      <c r="A37" s="276" t="s">
        <v>95</v>
      </c>
      <c r="B37" s="284" t="s">
        <v>96</v>
      </c>
      <c r="C37" s="187" t="s">
        <v>179</v>
      </c>
      <c r="D37" s="198" t="s">
        <v>182</v>
      </c>
      <c r="E37" s="199">
        <f>'soupiska stromy'!F37</f>
        <v>1</v>
      </c>
      <c r="F37" s="200"/>
      <c r="G37" s="136"/>
    </row>
    <row r="38" spans="1:7" x14ac:dyDescent="0.25">
      <c r="A38" s="276" t="s">
        <v>92</v>
      </c>
      <c r="B38" s="284" t="s">
        <v>91</v>
      </c>
      <c r="C38" s="187" t="s">
        <v>179</v>
      </c>
      <c r="D38" s="198" t="s">
        <v>183</v>
      </c>
      <c r="E38" s="199">
        <f>'soupiska stromy'!F38</f>
        <v>9</v>
      </c>
      <c r="F38" s="200"/>
      <c r="G38" s="136"/>
    </row>
    <row r="39" spans="1:7" x14ac:dyDescent="0.25">
      <c r="A39" s="276" t="s">
        <v>64</v>
      </c>
      <c r="B39" s="284" t="s">
        <v>47</v>
      </c>
      <c r="C39" s="187" t="s">
        <v>179</v>
      </c>
      <c r="D39" s="198" t="s">
        <v>182</v>
      </c>
      <c r="E39" s="199">
        <f>'soupiska stromy'!F39</f>
        <v>62</v>
      </c>
      <c r="F39" s="200"/>
      <c r="G39" s="136"/>
    </row>
    <row r="40" spans="1:7" x14ac:dyDescent="0.25">
      <c r="A40" s="276" t="s">
        <v>90</v>
      </c>
      <c r="B40" s="284" t="s">
        <v>89</v>
      </c>
      <c r="C40" s="187" t="s">
        <v>179</v>
      </c>
      <c r="D40" s="198" t="s">
        <v>182</v>
      </c>
      <c r="E40" s="199">
        <f>'soupiska stromy'!F40</f>
        <v>1</v>
      </c>
      <c r="F40" s="200"/>
      <c r="G40" s="136"/>
    </row>
    <row r="41" spans="1:7" x14ac:dyDescent="0.25">
      <c r="A41" s="276" t="s">
        <v>442</v>
      </c>
      <c r="B41" s="284" t="s">
        <v>441</v>
      </c>
      <c r="C41" s="187" t="s">
        <v>444</v>
      </c>
      <c r="D41" s="198" t="s">
        <v>182</v>
      </c>
      <c r="E41" s="199">
        <f>'soupiska stromy'!F24</f>
        <v>3</v>
      </c>
      <c r="F41" s="200"/>
      <c r="G41" s="136"/>
    </row>
    <row r="42" spans="1:7" s="79" customFormat="1" x14ac:dyDescent="0.25">
      <c r="A42" s="277"/>
      <c r="B42" s="285"/>
      <c r="C42" s="188"/>
      <c r="D42" s="188"/>
      <c r="E42" s="201">
        <f>SUM(E14:E41)</f>
        <v>242</v>
      </c>
      <c r="F42" s="202"/>
      <c r="G42" s="201"/>
    </row>
    <row r="43" spans="1:7" x14ac:dyDescent="0.25">
      <c r="A43" s="278" t="s">
        <v>194</v>
      </c>
      <c r="B43" s="97"/>
      <c r="C43" s="127"/>
      <c r="D43" s="127"/>
      <c r="E43" s="136"/>
      <c r="F43" s="125"/>
      <c r="G43" s="136"/>
    </row>
    <row r="44" spans="1:7" x14ac:dyDescent="0.25">
      <c r="A44" s="279" t="s">
        <v>15</v>
      </c>
      <c r="B44" s="286" t="s">
        <v>195</v>
      </c>
      <c r="C44" s="127" t="s">
        <v>104</v>
      </c>
      <c r="D44" s="127" t="s">
        <v>199</v>
      </c>
      <c r="E44" s="136">
        <f>'soupiska keře'!D24</f>
        <v>1411</v>
      </c>
      <c r="F44" s="125"/>
      <c r="G44" s="136"/>
    </row>
    <row r="45" spans="1:7" x14ac:dyDescent="0.25">
      <c r="A45" s="279" t="s">
        <v>19</v>
      </c>
      <c r="B45" s="286" t="s">
        <v>21</v>
      </c>
      <c r="C45" s="127" t="s">
        <v>104</v>
      </c>
      <c r="D45" s="127" t="s">
        <v>196</v>
      </c>
      <c r="E45" s="136">
        <f>'soupiska keře'!D25</f>
        <v>156</v>
      </c>
      <c r="F45" s="125"/>
      <c r="G45" s="136"/>
    </row>
    <row r="46" spans="1:7" x14ac:dyDescent="0.25">
      <c r="A46" s="279" t="s">
        <v>13</v>
      </c>
      <c r="B46" s="286" t="s">
        <v>197</v>
      </c>
      <c r="C46" s="127" t="s">
        <v>104</v>
      </c>
      <c r="D46" s="127" t="s">
        <v>198</v>
      </c>
      <c r="E46" s="136">
        <f>'soupiska keře'!D26</f>
        <v>688</v>
      </c>
      <c r="F46" s="125"/>
      <c r="G46" s="136"/>
    </row>
    <row r="47" spans="1:7" x14ac:dyDescent="0.25">
      <c r="A47" s="279" t="s">
        <v>112</v>
      </c>
      <c r="B47" s="286" t="s">
        <v>113</v>
      </c>
      <c r="C47" s="127" t="s">
        <v>104</v>
      </c>
      <c r="D47" s="127" t="s">
        <v>201</v>
      </c>
      <c r="E47" s="136">
        <f>'soupiska keře'!D27</f>
        <v>128</v>
      </c>
      <c r="F47" s="125"/>
      <c r="G47" s="136"/>
    </row>
    <row r="48" spans="1:7" x14ac:dyDescent="0.25">
      <c r="A48" s="279" t="s">
        <v>99</v>
      </c>
      <c r="B48" s="286" t="s">
        <v>200</v>
      </c>
      <c r="C48" s="127" t="s">
        <v>104</v>
      </c>
      <c r="D48" s="127" t="s">
        <v>201</v>
      </c>
      <c r="E48" s="136">
        <f>'soupiska keře'!D28</f>
        <v>180</v>
      </c>
      <c r="F48" s="125"/>
      <c r="G48" s="136"/>
    </row>
    <row r="49" spans="1:7" s="79" customFormat="1" x14ac:dyDescent="0.25">
      <c r="A49" s="277"/>
      <c r="B49" s="285"/>
      <c r="C49" s="188"/>
      <c r="D49" s="188"/>
      <c r="E49" s="201">
        <f>SUM(E44:E48)</f>
        <v>2563</v>
      </c>
      <c r="F49" s="202"/>
      <c r="G49" s="201"/>
    </row>
    <row r="50" spans="1:7" x14ac:dyDescent="0.25">
      <c r="A50" s="278" t="s">
        <v>218</v>
      </c>
      <c r="B50" s="97"/>
      <c r="C50" s="127"/>
      <c r="D50" s="127"/>
      <c r="E50" s="136"/>
      <c r="F50" s="125"/>
      <c r="G50" s="136"/>
    </row>
    <row r="51" spans="1:7" x14ac:dyDescent="0.25">
      <c r="A51" s="279" t="s">
        <v>16</v>
      </c>
      <c r="B51" s="286" t="s">
        <v>204</v>
      </c>
      <c r="C51" s="127" t="s">
        <v>202</v>
      </c>
      <c r="D51" s="127" t="s">
        <v>213</v>
      </c>
      <c r="E51" s="136">
        <f>'soupiska keře'!D31</f>
        <v>627</v>
      </c>
      <c r="F51" s="125"/>
      <c r="G51" s="136"/>
    </row>
    <row r="52" spans="1:7" x14ac:dyDescent="0.25">
      <c r="A52" s="279" t="s">
        <v>30</v>
      </c>
      <c r="B52" s="286" t="s">
        <v>27</v>
      </c>
      <c r="C52" s="127" t="s">
        <v>202</v>
      </c>
      <c r="D52" s="127" t="s">
        <v>213</v>
      </c>
      <c r="E52" s="136">
        <f>'soupiska keře'!D32</f>
        <v>14</v>
      </c>
      <c r="F52" s="125"/>
      <c r="G52" s="136"/>
    </row>
    <row r="53" spans="1:7" x14ac:dyDescent="0.25">
      <c r="A53" s="279" t="s">
        <v>18</v>
      </c>
      <c r="B53" s="286" t="s">
        <v>205</v>
      </c>
      <c r="C53" s="127" t="s">
        <v>202</v>
      </c>
      <c r="D53" s="127" t="s">
        <v>213</v>
      </c>
      <c r="E53" s="136">
        <f>'soupiska keře'!D33</f>
        <v>490</v>
      </c>
      <c r="F53" s="125"/>
      <c r="G53" s="136"/>
    </row>
    <row r="54" spans="1:7" x14ac:dyDescent="0.25">
      <c r="A54" s="279" t="s">
        <v>17</v>
      </c>
      <c r="B54" s="286" t="s">
        <v>206</v>
      </c>
      <c r="C54" s="127" t="s">
        <v>202</v>
      </c>
      <c r="D54" s="127" t="s">
        <v>213</v>
      </c>
      <c r="E54" s="136">
        <f>'soupiska keře'!D34</f>
        <v>175</v>
      </c>
      <c r="F54" s="125"/>
      <c r="G54" s="136"/>
    </row>
    <row r="55" spans="1:7" x14ac:dyDescent="0.25">
      <c r="A55" s="279" t="s">
        <v>23</v>
      </c>
      <c r="B55" s="286" t="s">
        <v>207</v>
      </c>
      <c r="C55" s="127" t="s">
        <v>202</v>
      </c>
      <c r="D55" s="127" t="s">
        <v>213</v>
      </c>
      <c r="E55" s="136">
        <f>'soupiska keře'!D35</f>
        <v>439</v>
      </c>
      <c r="F55" s="125"/>
      <c r="G55" s="136"/>
    </row>
    <row r="56" spans="1:7" x14ac:dyDescent="0.25">
      <c r="A56" s="279" t="s">
        <v>100</v>
      </c>
      <c r="B56" s="286" t="s">
        <v>101</v>
      </c>
      <c r="C56" s="127" t="s">
        <v>202</v>
      </c>
      <c r="D56" s="127" t="s">
        <v>213</v>
      </c>
      <c r="E56" s="136">
        <f>'soupiska keře'!D36</f>
        <v>35</v>
      </c>
      <c r="F56" s="125"/>
      <c r="G56" s="136"/>
    </row>
    <row r="57" spans="1:7" x14ac:dyDescent="0.25">
      <c r="A57" s="279" t="s">
        <v>24</v>
      </c>
      <c r="B57" s="286" t="s">
        <v>208</v>
      </c>
      <c r="C57" s="127" t="s">
        <v>202</v>
      </c>
      <c r="D57" s="127" t="s">
        <v>213</v>
      </c>
      <c r="E57" s="136">
        <f>'soupiska keře'!D37</f>
        <v>72</v>
      </c>
      <c r="F57" s="125"/>
      <c r="G57" s="136"/>
    </row>
    <row r="58" spans="1:7" x14ac:dyDescent="0.25">
      <c r="A58" s="279" t="s">
        <v>102</v>
      </c>
      <c r="B58" s="286" t="s">
        <v>107</v>
      </c>
      <c r="C58" s="127" t="s">
        <v>202</v>
      </c>
      <c r="D58" s="127" t="s">
        <v>213</v>
      </c>
      <c r="E58" s="136">
        <f>'soupiska keře'!D38</f>
        <v>178</v>
      </c>
      <c r="F58" s="125"/>
      <c r="G58" s="136"/>
    </row>
    <row r="59" spans="1:7" x14ac:dyDescent="0.25">
      <c r="A59" s="279" t="s">
        <v>267</v>
      </c>
      <c r="B59" s="286" t="s">
        <v>435</v>
      </c>
      <c r="C59" s="127" t="s">
        <v>202</v>
      </c>
      <c r="D59" s="127" t="s">
        <v>213</v>
      </c>
      <c r="E59" s="136">
        <f>'soupiska keře'!D39</f>
        <v>39</v>
      </c>
      <c r="F59" s="125"/>
      <c r="G59" s="136"/>
    </row>
    <row r="60" spans="1:7" s="79" customFormat="1" x14ac:dyDescent="0.25">
      <c r="A60" s="277"/>
      <c r="B60" s="285"/>
      <c r="C60" s="188"/>
      <c r="D60" s="188"/>
      <c r="E60" s="201">
        <f>SUM(E51:E59)</f>
        <v>2069</v>
      </c>
      <c r="F60" s="202"/>
      <c r="G60" s="201"/>
    </row>
    <row r="61" spans="1:7" x14ac:dyDescent="0.25">
      <c r="A61" s="278" t="s">
        <v>219</v>
      </c>
      <c r="B61" s="97"/>
      <c r="C61" s="127"/>
      <c r="D61" s="127"/>
      <c r="E61" s="136"/>
      <c r="F61" s="125"/>
      <c r="G61" s="136"/>
    </row>
    <row r="62" spans="1:7" x14ac:dyDescent="0.25">
      <c r="A62" s="279" t="s">
        <v>25</v>
      </c>
      <c r="B62" s="286" t="s">
        <v>334</v>
      </c>
      <c r="C62" s="127" t="s">
        <v>212</v>
      </c>
      <c r="D62" s="127" t="s">
        <v>203</v>
      </c>
      <c r="E62" s="136">
        <f>'soupiska keře'!D42</f>
        <v>6</v>
      </c>
      <c r="F62" s="125"/>
      <c r="G62" s="136"/>
    </row>
    <row r="63" spans="1:7" x14ac:dyDescent="0.25">
      <c r="A63" s="279" t="s">
        <v>20</v>
      </c>
      <c r="B63" s="286" t="s">
        <v>335</v>
      </c>
      <c r="C63" s="127" t="s">
        <v>212</v>
      </c>
      <c r="D63" s="127" t="s">
        <v>203</v>
      </c>
      <c r="E63" s="136">
        <f>'soupiska keře'!D43</f>
        <v>111</v>
      </c>
      <c r="F63" s="125"/>
      <c r="G63" s="136"/>
    </row>
    <row r="64" spans="1:7" x14ac:dyDescent="0.25">
      <c r="A64" s="279" t="s">
        <v>33</v>
      </c>
      <c r="B64" s="286" t="s">
        <v>240</v>
      </c>
      <c r="C64" s="127" t="s">
        <v>212</v>
      </c>
      <c r="D64" s="127" t="s">
        <v>203</v>
      </c>
      <c r="E64" s="136">
        <f>'soupiska keře'!D44</f>
        <v>32</v>
      </c>
      <c r="F64" s="125"/>
      <c r="G64" s="136"/>
    </row>
    <row r="65" spans="1:7" ht="27" x14ac:dyDescent="0.25">
      <c r="A65" s="279" t="s">
        <v>34</v>
      </c>
      <c r="B65" s="286" t="s">
        <v>420</v>
      </c>
      <c r="C65" s="127" t="s">
        <v>212</v>
      </c>
      <c r="D65" s="127" t="s">
        <v>203</v>
      </c>
      <c r="E65" s="136">
        <f>'soupiska keře'!D45</f>
        <v>146</v>
      </c>
      <c r="F65" s="125"/>
      <c r="G65" s="136"/>
    </row>
    <row r="66" spans="1:7" x14ac:dyDescent="0.25">
      <c r="A66" s="279" t="s">
        <v>111</v>
      </c>
      <c r="B66" s="286" t="s">
        <v>110</v>
      </c>
      <c r="C66" s="127" t="s">
        <v>212</v>
      </c>
      <c r="D66" s="127" t="s">
        <v>203</v>
      </c>
      <c r="E66" s="136">
        <f>'soupiska keře'!D46</f>
        <v>880</v>
      </c>
      <c r="F66" s="125"/>
      <c r="G66" s="136"/>
    </row>
    <row r="67" spans="1:7" x14ac:dyDescent="0.25">
      <c r="A67" s="279" t="s">
        <v>119</v>
      </c>
      <c r="B67" s="286" t="s">
        <v>209</v>
      </c>
      <c r="C67" s="127" t="s">
        <v>212</v>
      </c>
      <c r="D67" s="127" t="s">
        <v>203</v>
      </c>
      <c r="E67" s="136">
        <f>'soupiska keře'!D47</f>
        <v>8</v>
      </c>
      <c r="F67" s="125"/>
      <c r="G67" s="136"/>
    </row>
    <row r="68" spans="1:7" x14ac:dyDescent="0.25">
      <c r="A68" s="279" t="s">
        <v>114</v>
      </c>
      <c r="B68" s="286" t="s">
        <v>440</v>
      </c>
      <c r="C68" s="127" t="s">
        <v>212</v>
      </c>
      <c r="D68" s="127" t="s">
        <v>203</v>
      </c>
      <c r="E68" s="136">
        <f>'soupiska keře'!D48</f>
        <v>42</v>
      </c>
      <c r="F68" s="125"/>
      <c r="G68" s="136"/>
    </row>
    <row r="69" spans="1:7" x14ac:dyDescent="0.25">
      <c r="A69" s="279" t="s">
        <v>115</v>
      </c>
      <c r="B69" s="286" t="s">
        <v>210</v>
      </c>
      <c r="C69" s="127" t="s">
        <v>212</v>
      </c>
      <c r="D69" s="127" t="s">
        <v>203</v>
      </c>
      <c r="E69" s="136">
        <f>'soupiska keře'!D49</f>
        <v>45</v>
      </c>
      <c r="F69" s="125"/>
      <c r="G69" s="136"/>
    </row>
    <row r="70" spans="1:7" x14ac:dyDescent="0.25">
      <c r="A70" s="279" t="s">
        <v>116</v>
      </c>
      <c r="B70" s="286" t="s">
        <v>117</v>
      </c>
      <c r="C70" s="127" t="s">
        <v>212</v>
      </c>
      <c r="D70" s="127" t="s">
        <v>203</v>
      </c>
      <c r="E70" s="136">
        <f>'soupiska keře'!D50</f>
        <v>14</v>
      </c>
      <c r="F70" s="125"/>
      <c r="G70" s="136"/>
    </row>
    <row r="71" spans="1:7" x14ac:dyDescent="0.25">
      <c r="A71" s="279" t="s">
        <v>118</v>
      </c>
      <c r="B71" s="286" t="s">
        <v>349</v>
      </c>
      <c r="C71" s="127" t="s">
        <v>212</v>
      </c>
      <c r="D71" s="127" t="s">
        <v>203</v>
      </c>
      <c r="E71" s="136">
        <f>'soupiska keře'!D51</f>
        <v>3</v>
      </c>
      <c r="F71" s="125"/>
      <c r="G71" s="136"/>
    </row>
    <row r="72" spans="1:7" x14ac:dyDescent="0.25">
      <c r="A72" s="279" t="s">
        <v>14</v>
      </c>
      <c r="B72" s="286" t="s">
        <v>421</v>
      </c>
      <c r="C72" s="127" t="s">
        <v>212</v>
      </c>
      <c r="D72" s="127" t="s">
        <v>203</v>
      </c>
      <c r="E72" s="136">
        <f>'soupiska keře'!D52</f>
        <v>151</v>
      </c>
      <c r="F72" s="125"/>
      <c r="G72" s="136"/>
    </row>
    <row r="73" spans="1:7" x14ac:dyDescent="0.25">
      <c r="A73" s="279" t="s">
        <v>97</v>
      </c>
      <c r="B73" s="286" t="s">
        <v>98</v>
      </c>
      <c r="C73" s="127" t="s">
        <v>212</v>
      </c>
      <c r="D73" s="127" t="s">
        <v>203</v>
      </c>
      <c r="E73" s="136">
        <f>'soupiska keře'!D53</f>
        <v>17</v>
      </c>
      <c r="F73" s="125"/>
      <c r="G73" s="136"/>
    </row>
    <row r="74" spans="1:7" s="79" customFormat="1" x14ac:dyDescent="0.25">
      <c r="A74" s="277"/>
      <c r="B74" s="285"/>
      <c r="C74" s="188"/>
      <c r="D74" s="188"/>
      <c r="E74" s="201">
        <f>SUM(E62:E73)</f>
        <v>1455</v>
      </c>
      <c r="F74" s="202"/>
      <c r="G74" s="201"/>
    </row>
    <row r="75" spans="1:7" x14ac:dyDescent="0.25">
      <c r="A75" s="278" t="s">
        <v>328</v>
      </c>
      <c r="B75" s="97"/>
      <c r="C75" s="127"/>
      <c r="D75" s="127"/>
      <c r="E75" s="136"/>
      <c r="F75" s="125"/>
      <c r="G75" s="136"/>
    </row>
    <row r="76" spans="1:7" x14ac:dyDescent="0.25">
      <c r="A76" s="276" t="s">
        <v>280</v>
      </c>
      <c r="B76" s="284" t="s">
        <v>279</v>
      </c>
      <c r="C76" s="127" t="s">
        <v>202</v>
      </c>
      <c r="D76" s="203" t="str">
        <f>'soupiska stromy'!D43</f>
        <v>60-80 cm, K2,5</v>
      </c>
      <c r="E76" s="136">
        <f>'soupiska stromy'!F43</f>
        <v>3</v>
      </c>
      <c r="F76" s="125"/>
      <c r="G76" s="136"/>
    </row>
    <row r="77" spans="1:7" x14ac:dyDescent="0.25">
      <c r="A77" s="276" t="s">
        <v>282</v>
      </c>
      <c r="B77" s="284" t="s">
        <v>244</v>
      </c>
      <c r="C77" s="127" t="s">
        <v>202</v>
      </c>
      <c r="D77" s="203" t="str">
        <f>'soupiska stromy'!D44</f>
        <v>60-80 cm, K2,5</v>
      </c>
      <c r="E77" s="136">
        <f>'soupiska stromy'!F44</f>
        <v>4</v>
      </c>
      <c r="F77" s="125"/>
      <c r="G77" s="136"/>
    </row>
    <row r="78" spans="1:7" x14ac:dyDescent="0.25">
      <c r="A78" s="276" t="s">
        <v>295</v>
      </c>
      <c r="B78" s="284" t="s">
        <v>294</v>
      </c>
      <c r="C78" s="127" t="s">
        <v>202</v>
      </c>
      <c r="D78" s="203" t="str">
        <f>'soupiska stromy'!D45</f>
        <v>60-80 cm, K2,5</v>
      </c>
      <c r="E78" s="136">
        <f>'soupiska stromy'!F45</f>
        <v>2</v>
      </c>
      <c r="F78" s="125"/>
      <c r="G78" s="136"/>
    </row>
    <row r="79" spans="1:7" x14ac:dyDescent="0.25">
      <c r="A79" s="276" t="s">
        <v>281</v>
      </c>
      <c r="B79" s="284" t="s">
        <v>246</v>
      </c>
      <c r="C79" s="127" t="s">
        <v>202</v>
      </c>
      <c r="D79" s="203" t="str">
        <f>'soupiska stromy'!D46</f>
        <v>60-80 cm, K2,5</v>
      </c>
      <c r="E79" s="136">
        <f>'soupiska stromy'!F46</f>
        <v>2</v>
      </c>
      <c r="F79" s="125"/>
      <c r="G79" s="136"/>
    </row>
    <row r="80" spans="1:7" x14ac:dyDescent="0.25">
      <c r="A80" s="276" t="s">
        <v>33</v>
      </c>
      <c r="B80" s="284" t="s">
        <v>240</v>
      </c>
      <c r="C80" s="127" t="s">
        <v>202</v>
      </c>
      <c r="D80" s="203" t="str">
        <f>'soupiska stromy'!D47</f>
        <v>60-80 cm, K2,5</v>
      </c>
      <c r="E80" s="136">
        <f>'soupiska stromy'!F47</f>
        <v>13</v>
      </c>
      <c r="F80" s="125"/>
      <c r="G80" s="136"/>
    </row>
    <row r="81" spans="1:7" x14ac:dyDescent="0.25">
      <c r="A81" s="276" t="s">
        <v>285</v>
      </c>
      <c r="B81" s="284" t="s">
        <v>286</v>
      </c>
      <c r="C81" s="127" t="s">
        <v>202</v>
      </c>
      <c r="D81" s="203" t="str">
        <f>'soupiska stromy'!D48</f>
        <v>60-80 cm, K2,5</v>
      </c>
      <c r="E81" s="136">
        <f>'soupiska stromy'!F48</f>
        <v>3</v>
      </c>
      <c r="F81" s="125"/>
      <c r="G81" s="136"/>
    </row>
    <row r="82" spans="1:7" x14ac:dyDescent="0.25">
      <c r="A82" s="276" t="s">
        <v>311</v>
      </c>
      <c r="B82" s="284" t="s">
        <v>310</v>
      </c>
      <c r="C82" s="127" t="s">
        <v>202</v>
      </c>
      <c r="D82" s="203" t="str">
        <f>'soupiska stromy'!D49</f>
        <v>60-80 cm, K2,6</v>
      </c>
      <c r="E82" s="136">
        <f>'soupiska stromy'!F49</f>
        <v>2</v>
      </c>
      <c r="F82" s="125"/>
      <c r="G82" s="136"/>
    </row>
    <row r="83" spans="1:7" x14ac:dyDescent="0.25">
      <c r="A83" s="276" t="s">
        <v>288</v>
      </c>
      <c r="B83" s="284" t="s">
        <v>243</v>
      </c>
      <c r="C83" s="127" t="s">
        <v>202</v>
      </c>
      <c r="D83" s="203" t="str">
        <f>'soupiska stromy'!D50</f>
        <v>60-80 cm, K2,5</v>
      </c>
      <c r="E83" s="136">
        <f>'soupiska stromy'!F50</f>
        <v>1</v>
      </c>
      <c r="F83" s="125"/>
      <c r="G83" s="136"/>
    </row>
    <row r="84" spans="1:7" x14ac:dyDescent="0.25">
      <c r="A84" s="276" t="s">
        <v>287</v>
      </c>
      <c r="B84" s="284" t="s">
        <v>245</v>
      </c>
      <c r="C84" s="127" t="s">
        <v>202</v>
      </c>
      <c r="D84" s="203" t="str">
        <f>'soupiska stromy'!D51</f>
        <v>60-80 cm, K2,5</v>
      </c>
      <c r="E84" s="136">
        <f>'soupiska stromy'!F51</f>
        <v>5</v>
      </c>
      <c r="F84" s="125"/>
      <c r="G84" s="136"/>
    </row>
    <row r="85" spans="1:7" x14ac:dyDescent="0.25">
      <c r="A85" s="276" t="s">
        <v>290</v>
      </c>
      <c r="B85" s="284" t="s">
        <v>289</v>
      </c>
      <c r="C85" s="127" t="s">
        <v>202</v>
      </c>
      <c r="D85" s="203" t="str">
        <f>'soupiska stromy'!D52</f>
        <v>60-80 cm, K2,5</v>
      </c>
      <c r="E85" s="136">
        <f>'soupiska stromy'!F52</f>
        <v>5</v>
      </c>
      <c r="F85" s="125"/>
      <c r="G85" s="136"/>
    </row>
    <row r="86" spans="1:7" x14ac:dyDescent="0.25">
      <c r="A86" s="276" t="s">
        <v>291</v>
      </c>
      <c r="B86" s="284" t="s">
        <v>241</v>
      </c>
      <c r="C86" s="127" t="s">
        <v>202</v>
      </c>
      <c r="D86" s="203" t="str">
        <f>'soupiska stromy'!D53</f>
        <v>60-80 cm, K2,5</v>
      </c>
      <c r="E86" s="136">
        <f>'soupiska stromy'!F53</f>
        <v>2</v>
      </c>
      <c r="F86" s="125"/>
      <c r="G86" s="136"/>
    </row>
    <row r="87" spans="1:7" x14ac:dyDescent="0.25">
      <c r="A87" s="276" t="s">
        <v>305</v>
      </c>
      <c r="B87" s="284" t="s">
        <v>304</v>
      </c>
      <c r="C87" s="127" t="s">
        <v>202</v>
      </c>
      <c r="D87" s="203" t="str">
        <f>'soupiska stromy'!D54</f>
        <v>60-80 cm, K2,5</v>
      </c>
      <c r="E87" s="136">
        <f>'soupiska stromy'!F54</f>
        <v>2</v>
      </c>
      <c r="F87" s="125"/>
      <c r="G87" s="136"/>
    </row>
    <row r="88" spans="1:7" x14ac:dyDescent="0.25">
      <c r="A88" s="276" t="s">
        <v>284</v>
      </c>
      <c r="B88" s="284" t="s">
        <v>309</v>
      </c>
      <c r="C88" s="127" t="s">
        <v>202</v>
      </c>
      <c r="D88" s="203" t="str">
        <f>'soupiska stromy'!D55</f>
        <v>60-80 cm, K2,5</v>
      </c>
      <c r="E88" s="136">
        <f>'soupiska stromy'!F55</f>
        <v>2</v>
      </c>
      <c r="F88" s="125"/>
      <c r="G88" s="136"/>
    </row>
    <row r="89" spans="1:7" x14ac:dyDescent="0.25">
      <c r="A89" s="276" t="s">
        <v>303</v>
      </c>
      <c r="B89" s="284" t="s">
        <v>302</v>
      </c>
      <c r="C89" s="127" t="s">
        <v>202</v>
      </c>
      <c r="D89" s="203" t="str">
        <f>'soupiska stromy'!D56</f>
        <v>60-80 cm, K2,5</v>
      </c>
      <c r="E89" s="136">
        <f>'soupiska stromy'!F56</f>
        <v>4</v>
      </c>
      <c r="F89" s="125"/>
      <c r="G89" s="136"/>
    </row>
    <row r="90" spans="1:7" x14ac:dyDescent="0.25">
      <c r="A90" s="276" t="s">
        <v>283</v>
      </c>
      <c r="B90" s="284" t="s">
        <v>239</v>
      </c>
      <c r="C90" s="127" t="s">
        <v>202</v>
      </c>
      <c r="D90" s="203" t="str">
        <f>'soupiska stromy'!D57</f>
        <v>60-80 cm, K2,5</v>
      </c>
      <c r="E90" s="136">
        <v>7</v>
      </c>
      <c r="F90" s="125"/>
      <c r="G90" s="136"/>
    </row>
    <row r="91" spans="1:7" x14ac:dyDescent="0.25">
      <c r="A91" s="276" t="s">
        <v>116</v>
      </c>
      <c r="B91" s="284" t="s">
        <v>242</v>
      </c>
      <c r="C91" s="127" t="s">
        <v>202</v>
      </c>
      <c r="D91" s="203" t="str">
        <f>'soupiska stromy'!D58</f>
        <v>60-80 cm, K2,5</v>
      </c>
      <c r="E91" s="136">
        <f>'soupiska stromy'!F58</f>
        <v>1</v>
      </c>
      <c r="F91" s="125"/>
      <c r="G91" s="136"/>
    </row>
    <row r="92" spans="1:7" x14ac:dyDescent="0.25">
      <c r="A92" s="276" t="s">
        <v>97</v>
      </c>
      <c r="B92" s="284" t="s">
        <v>98</v>
      </c>
      <c r="C92" s="127" t="s">
        <v>202</v>
      </c>
      <c r="D92" s="203" t="str">
        <f>'soupiska stromy'!D59</f>
        <v>60-80 cm, K2,5</v>
      </c>
      <c r="E92" s="136">
        <f>'soupiska stromy'!F59</f>
        <v>4</v>
      </c>
      <c r="F92" s="125"/>
      <c r="G92" s="136"/>
    </row>
    <row r="93" spans="1:7" x14ac:dyDescent="0.25">
      <c r="A93" s="279" t="s">
        <v>100</v>
      </c>
      <c r="B93" s="286" t="s">
        <v>101</v>
      </c>
      <c r="C93" s="127" t="s">
        <v>202</v>
      </c>
      <c r="D93" s="203" t="str">
        <f>'soupiska stromy'!D60</f>
        <v>60-80 cm, K2,5</v>
      </c>
      <c r="E93" s="136">
        <f>'soupiska stromy'!F60</f>
        <v>3</v>
      </c>
      <c r="F93" s="125"/>
      <c r="G93" s="136"/>
    </row>
    <row r="94" spans="1:7" x14ac:dyDescent="0.25">
      <c r="A94" s="276" t="s">
        <v>297</v>
      </c>
      <c r="B94" s="284" t="s">
        <v>296</v>
      </c>
      <c r="C94" s="127" t="s">
        <v>202</v>
      </c>
      <c r="D94" s="203" t="str">
        <f>'soupiska stromy'!D61</f>
        <v>60-80 cm, K2,5</v>
      </c>
      <c r="E94" s="136">
        <f>'soupiska stromy'!F61</f>
        <v>3</v>
      </c>
      <c r="F94" s="125"/>
      <c r="G94" s="136"/>
    </row>
    <row r="95" spans="1:7" x14ac:dyDescent="0.25">
      <c r="A95" s="276" t="s">
        <v>299</v>
      </c>
      <c r="B95" s="284" t="s">
        <v>298</v>
      </c>
      <c r="C95" s="127" t="s">
        <v>202</v>
      </c>
      <c r="D95" s="203" t="str">
        <f>'soupiska stromy'!D62</f>
        <v>60-80 cm, K2,5</v>
      </c>
      <c r="E95" s="136">
        <f>'soupiska stromy'!F62</f>
        <v>10</v>
      </c>
      <c r="F95" s="125"/>
      <c r="G95" s="136"/>
    </row>
    <row r="96" spans="1:7" x14ac:dyDescent="0.25">
      <c r="A96" s="276" t="s">
        <v>264</v>
      </c>
      <c r="B96" s="284" t="s">
        <v>265</v>
      </c>
      <c r="C96" s="127" t="s">
        <v>202</v>
      </c>
      <c r="D96" s="203" t="str">
        <f>'soupiska stromy'!D63</f>
        <v>60-80 cm, K2,5</v>
      </c>
      <c r="E96" s="136">
        <f>'soupiska stromy'!F63</f>
        <v>3</v>
      </c>
      <c r="F96" s="125"/>
      <c r="G96" s="136"/>
    </row>
    <row r="97" spans="1:8" s="79" customFormat="1" x14ac:dyDescent="0.25">
      <c r="A97" s="277"/>
      <c r="B97" s="285"/>
      <c r="C97" s="188"/>
      <c r="D97" s="188"/>
      <c r="E97" s="201">
        <f>SUM(E76:E96)</f>
        <v>81</v>
      </c>
      <c r="F97" s="202"/>
      <c r="G97" s="201"/>
    </row>
    <row r="98" spans="1:8" x14ac:dyDescent="0.25">
      <c r="A98" s="278" t="s">
        <v>214</v>
      </c>
      <c r="B98" s="97"/>
      <c r="C98" s="127"/>
      <c r="D98" s="127"/>
      <c r="E98" s="136"/>
      <c r="F98" s="125"/>
      <c r="G98" s="136"/>
    </row>
    <row r="99" spans="1:8" x14ac:dyDescent="0.25">
      <c r="A99" s="7" t="s">
        <v>28</v>
      </c>
      <c r="B99" s="97" t="str">
        <f>'soupiska keře'!B56</f>
        <v>Stahys byzantina K9</v>
      </c>
      <c r="C99" s="127" t="s">
        <v>216</v>
      </c>
      <c r="D99" s="127" t="s">
        <v>217</v>
      </c>
      <c r="E99" s="136">
        <f>'soupiska keře'!D56</f>
        <v>249</v>
      </c>
      <c r="F99" s="125"/>
      <c r="G99" s="136"/>
    </row>
    <row r="100" spans="1:8" x14ac:dyDescent="0.25">
      <c r="A100" s="7" t="s">
        <v>38</v>
      </c>
      <c r="B100" s="97" t="str">
        <f>'soupiska keře'!B57</f>
        <v>Calamagrostis ac. ´Karl Forester´</v>
      </c>
      <c r="C100" s="127" t="s">
        <v>216</v>
      </c>
      <c r="D100" s="127" t="s">
        <v>217</v>
      </c>
      <c r="E100" s="136">
        <f>'soupiska keře'!D57</f>
        <v>129</v>
      </c>
      <c r="F100" s="125"/>
      <c r="G100" s="136"/>
    </row>
    <row r="101" spans="1:8" x14ac:dyDescent="0.25">
      <c r="A101" s="7" t="s">
        <v>36</v>
      </c>
      <c r="B101" s="97" t="str">
        <f>'soupiska keře'!B58</f>
        <v>Salvia nemorosa</v>
      </c>
      <c r="C101" s="127" t="s">
        <v>216</v>
      </c>
      <c r="D101" s="127" t="s">
        <v>217</v>
      </c>
      <c r="E101" s="136">
        <f>'soupiska keře'!D58</f>
        <v>91</v>
      </c>
      <c r="F101" s="125"/>
      <c r="G101" s="136"/>
    </row>
    <row r="102" spans="1:8" x14ac:dyDescent="0.25">
      <c r="A102" s="7" t="s">
        <v>268</v>
      </c>
      <c r="B102" s="97" t="str">
        <f>'soupiska keře'!B59</f>
        <v>Nepeta fasenii</v>
      </c>
      <c r="C102" s="127" t="s">
        <v>216</v>
      </c>
      <c r="D102" s="127" t="s">
        <v>217</v>
      </c>
      <c r="E102" s="136">
        <f>'soupiska keře'!D59</f>
        <v>157</v>
      </c>
      <c r="F102" s="125"/>
      <c r="G102" s="136"/>
    </row>
    <row r="103" spans="1:8" x14ac:dyDescent="0.25">
      <c r="A103" s="7" t="s">
        <v>32</v>
      </c>
      <c r="B103" s="97" t="str">
        <f>'soupiska keře'!B60</f>
        <v>Sedum kamcatchicum</v>
      </c>
      <c r="C103" s="127" t="s">
        <v>216</v>
      </c>
      <c r="D103" s="127" t="s">
        <v>217</v>
      </c>
      <c r="E103" s="136">
        <f>'soupiska keře'!D60</f>
        <v>21</v>
      </c>
      <c r="F103" s="125"/>
      <c r="G103" s="136"/>
    </row>
    <row r="104" spans="1:8" x14ac:dyDescent="0.25">
      <c r="A104" s="7" t="s">
        <v>40</v>
      </c>
      <c r="B104" s="97" t="str">
        <f>'soupiska keře'!B61</f>
        <v>Origanum vulgare</v>
      </c>
      <c r="C104" s="127" t="s">
        <v>216</v>
      </c>
      <c r="D104" s="127" t="s">
        <v>217</v>
      </c>
      <c r="E104" s="136">
        <f>'soupiska keře'!D61</f>
        <v>21</v>
      </c>
      <c r="F104" s="125"/>
      <c r="G104" s="136"/>
    </row>
    <row r="105" spans="1:8" x14ac:dyDescent="0.25">
      <c r="A105" s="7" t="s">
        <v>269</v>
      </c>
      <c r="B105" s="97" t="str">
        <f>'soupiska keře'!B62</f>
        <v>Hemerocalis ´Golden Chimes´</v>
      </c>
      <c r="C105" s="127" t="s">
        <v>216</v>
      </c>
      <c r="D105" s="127" t="s">
        <v>217</v>
      </c>
      <c r="E105" s="136">
        <f>'soupiska keře'!D62</f>
        <v>512</v>
      </c>
      <c r="F105" s="125"/>
      <c r="G105" s="136"/>
    </row>
    <row r="106" spans="1:8" x14ac:dyDescent="0.25">
      <c r="A106" s="7" t="s">
        <v>22</v>
      </c>
      <c r="B106" s="97" t="str">
        <f>'soupiska keře'!B63</f>
        <v xml:space="preserve">Penisetum al. ´Hameln´ </v>
      </c>
      <c r="C106" s="127" t="s">
        <v>216</v>
      </c>
      <c r="D106" s="127" t="s">
        <v>217</v>
      </c>
      <c r="E106" s="136">
        <f>'soupiska keře'!D63</f>
        <v>365</v>
      </c>
      <c r="F106" s="125"/>
      <c r="G106" s="136"/>
      <c r="H106" s="122">
        <f>SUM(E99:E106)</f>
        <v>1545</v>
      </c>
    </row>
    <row r="107" spans="1:8" s="79" customFormat="1" x14ac:dyDescent="0.25">
      <c r="A107" s="277"/>
      <c r="B107" s="285"/>
      <c r="C107" s="188"/>
      <c r="D107" s="188"/>
      <c r="E107" s="201">
        <f>SUM(E99:E106)</f>
        <v>1545</v>
      </c>
      <c r="F107" s="202"/>
      <c r="G107" s="201"/>
    </row>
    <row r="108" spans="1:8" s="79" customFormat="1" x14ac:dyDescent="0.25">
      <c r="A108" s="280"/>
      <c r="B108" s="287"/>
      <c r="C108" s="189"/>
      <c r="D108" s="189"/>
      <c r="E108" s="204"/>
      <c r="F108" s="205"/>
      <c r="G108" s="204"/>
    </row>
    <row r="109" spans="1:8" x14ac:dyDescent="0.25">
      <c r="A109" s="281" t="s">
        <v>416</v>
      </c>
      <c r="B109" s="288"/>
      <c r="C109" s="190"/>
      <c r="D109" s="190"/>
      <c r="E109" s="206"/>
      <c r="F109" s="207"/>
      <c r="G109" s="206"/>
    </row>
    <row r="110" spans="1:8" s="414" customFormat="1" x14ac:dyDescent="0.25">
      <c r="A110" s="281"/>
      <c r="B110" s="281" t="str">
        <f>A9</f>
        <v>ovocné dřeviny, vysokokmen rozvětvený</v>
      </c>
      <c r="C110" s="190"/>
      <c r="D110" s="190"/>
      <c r="E110" s="209"/>
      <c r="F110" s="190"/>
      <c r="G110" s="209"/>
    </row>
    <row r="111" spans="1:8" s="414" customFormat="1" x14ac:dyDescent="0.25">
      <c r="A111" s="281"/>
      <c r="B111" s="281" t="str">
        <f>A13</f>
        <v xml:space="preserve">alejové stromy, s balem </v>
      </c>
      <c r="C111" s="190"/>
      <c r="D111" s="190"/>
      <c r="E111" s="209"/>
      <c r="F111" s="190"/>
      <c r="G111" s="209"/>
    </row>
    <row r="112" spans="1:8" s="414" customFormat="1" x14ac:dyDescent="0.25">
      <c r="A112" s="281"/>
      <c r="B112" s="281" t="str">
        <f>A43</f>
        <v xml:space="preserve">okrasné keře s balem, nízké do 20 cm </v>
      </c>
      <c r="C112" s="190"/>
      <c r="D112" s="190"/>
      <c r="E112" s="209"/>
      <c r="F112" s="190"/>
      <c r="G112" s="209"/>
    </row>
    <row r="113" spans="1:8" s="414" customFormat="1" x14ac:dyDescent="0.25">
      <c r="A113" s="281"/>
      <c r="B113" s="281" t="str">
        <f>A50</f>
        <v xml:space="preserve">okrasné keře s balem, střední do 80 cm </v>
      </c>
      <c r="C113" s="190"/>
      <c r="D113" s="190"/>
      <c r="E113" s="209"/>
      <c r="F113" s="190"/>
      <c r="G113" s="209"/>
    </row>
    <row r="114" spans="1:8" s="414" customFormat="1" x14ac:dyDescent="0.25">
      <c r="A114" s="281"/>
      <c r="B114" s="281" t="str">
        <f>A61</f>
        <v xml:space="preserve">okrasné keře s balem, vysoké do 4 m </v>
      </c>
      <c r="C114" s="190"/>
      <c r="D114" s="190"/>
      <c r="E114" s="209"/>
      <c r="F114" s="190"/>
      <c r="G114" s="209"/>
      <c r="H114" s="415">
        <f>SUM(G112:G114)</f>
        <v>0</v>
      </c>
    </row>
    <row r="115" spans="1:8" s="414" customFormat="1" x14ac:dyDescent="0.25">
      <c r="A115" s="281"/>
      <c r="B115" s="281" t="str">
        <f>A75</f>
        <v>okrasné keře s balem, vysoké do 4 m  (solitérní)</v>
      </c>
      <c r="C115" s="190"/>
      <c r="D115" s="190"/>
      <c r="E115" s="209"/>
      <c r="F115" s="190"/>
      <c r="G115" s="209"/>
      <c r="H115" s="415"/>
    </row>
    <row r="116" spans="1:8" s="414" customFormat="1" x14ac:dyDescent="0.25">
      <c r="A116" s="281"/>
      <c r="B116" s="281" t="str">
        <f>A98</f>
        <v>okrasné trvalky a traviny</v>
      </c>
      <c r="C116" s="190"/>
      <c r="D116" s="190"/>
      <c r="E116" s="209"/>
      <c r="F116" s="190"/>
      <c r="G116" s="209"/>
    </row>
    <row r="117" spans="1:8" s="414" customFormat="1" x14ac:dyDescent="0.25">
      <c r="A117" s="281"/>
      <c r="B117" s="281" t="s">
        <v>220</v>
      </c>
      <c r="C117" s="190"/>
      <c r="D117" s="190"/>
      <c r="E117" s="209"/>
      <c r="F117" s="190"/>
      <c r="G117" s="209"/>
    </row>
    <row r="119" spans="1:8" x14ac:dyDescent="0.25">
      <c r="B119" s="289" t="s">
        <v>235</v>
      </c>
      <c r="C119" s="190"/>
      <c r="D119" s="208"/>
    </row>
    <row r="120" spans="1:8" x14ac:dyDescent="0.25">
      <c r="B120" s="289" t="s">
        <v>228</v>
      </c>
      <c r="C120" s="209">
        <f>E12</f>
        <v>6</v>
      </c>
      <c r="D120" s="208" t="s">
        <v>137</v>
      </c>
    </row>
    <row r="121" spans="1:8" x14ac:dyDescent="0.25">
      <c r="B121" s="289" t="s">
        <v>229</v>
      </c>
      <c r="C121" s="209">
        <f>E42</f>
        <v>242</v>
      </c>
      <c r="D121" s="208" t="s">
        <v>137</v>
      </c>
    </row>
    <row r="122" spans="1:8" x14ac:dyDescent="0.25">
      <c r="B122" s="289" t="s">
        <v>230</v>
      </c>
      <c r="C122" s="209">
        <f>E49+E60+E74+E97</f>
        <v>6168</v>
      </c>
      <c r="D122" s="208" t="s">
        <v>137</v>
      </c>
    </row>
    <row r="123" spans="1:8" x14ac:dyDescent="0.25">
      <c r="B123" s="289" t="s">
        <v>231</v>
      </c>
      <c r="C123" s="209">
        <f>E107</f>
        <v>1545</v>
      </c>
      <c r="D123" s="208" t="s">
        <v>137</v>
      </c>
    </row>
  </sheetData>
  <phoneticPr fontId="4" type="noConversion"/>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130" zoomScaleNormal="200" zoomScaleSheetLayoutView="130" workbookViewId="0">
      <selection activeCell="J25" sqref="J25"/>
    </sheetView>
  </sheetViews>
  <sheetFormatPr defaultRowHeight="16.5" x14ac:dyDescent="0.3"/>
  <cols>
    <col min="1" max="2" width="6.28515625" style="178" customWidth="1"/>
    <col min="3" max="3" width="52.5703125" style="68" customWidth="1"/>
    <col min="4" max="4" width="5.28515625" style="178" customWidth="1"/>
    <col min="5" max="5" width="8.7109375" style="210" customWidth="1"/>
    <col min="6" max="6" width="8.5703125" style="178" customWidth="1"/>
    <col min="7" max="7" width="8" style="211" customWidth="1"/>
    <col min="8" max="8" width="12.28515625" style="178" customWidth="1"/>
    <col min="9" max="16384" width="9.140625" style="67"/>
  </cols>
  <sheetData>
    <row r="1" spans="1:8" s="158" customFormat="1" ht="22.5" x14ac:dyDescent="0.25">
      <c r="A1" s="594" t="s">
        <v>496</v>
      </c>
      <c r="B1" s="594"/>
      <c r="C1" s="594"/>
      <c r="D1" s="594"/>
      <c r="E1" s="594"/>
      <c r="F1" s="594"/>
      <c r="G1" s="594"/>
      <c r="H1" s="157"/>
    </row>
    <row r="2" spans="1:8" s="481" customFormat="1" ht="12.75" x14ac:dyDescent="0.25">
      <c r="A2" s="481" t="s">
        <v>393</v>
      </c>
      <c r="B2" s="481" t="s">
        <v>190</v>
      </c>
      <c r="C2" s="416"/>
      <c r="E2" s="482"/>
      <c r="F2" s="483"/>
      <c r="G2" s="483"/>
    </row>
    <row r="3" spans="1:8" s="490" customFormat="1" ht="15" x14ac:dyDescent="0.3">
      <c r="A3" s="484" t="s">
        <v>181</v>
      </c>
      <c r="B3" s="484" t="s">
        <v>462</v>
      </c>
      <c r="C3" s="485"/>
      <c r="D3" s="486"/>
      <c r="E3" s="487"/>
      <c r="F3" s="488"/>
      <c r="G3" s="488"/>
      <c r="H3" s="489"/>
    </row>
    <row r="4" spans="1:8" s="225" customFormat="1" ht="15" x14ac:dyDescent="0.3">
      <c r="A4" s="219"/>
      <c r="B4" s="219" t="s">
        <v>491</v>
      </c>
      <c r="C4" s="242"/>
      <c r="D4" s="221"/>
      <c r="E4" s="243"/>
      <c r="F4" s="223"/>
      <c r="G4" s="223"/>
      <c r="H4" s="223"/>
    </row>
    <row r="5" spans="1:8" s="497" customFormat="1" ht="12.75" x14ac:dyDescent="0.2">
      <c r="A5" s="491" t="s">
        <v>180</v>
      </c>
      <c r="B5" s="491" t="s">
        <v>191</v>
      </c>
      <c r="C5" s="492"/>
      <c r="D5" s="493"/>
      <c r="E5" s="494"/>
      <c r="F5" s="495"/>
      <c r="G5" s="495"/>
      <c r="H5" s="496"/>
    </row>
    <row r="6" spans="1:8" s="497" customFormat="1" ht="12.75" x14ac:dyDescent="0.2">
      <c r="A6" s="491" t="s">
        <v>392</v>
      </c>
      <c r="B6" s="491"/>
      <c r="C6" s="492"/>
      <c r="D6" s="493"/>
      <c r="E6" s="494"/>
      <c r="F6" s="495"/>
      <c r="G6" s="495"/>
      <c r="H6" s="496"/>
    </row>
    <row r="7" spans="1:8" s="497" customFormat="1" ht="12.75" x14ac:dyDescent="0.2">
      <c r="A7" s="491" t="s">
        <v>221</v>
      </c>
      <c r="B7" s="498" t="s">
        <v>222</v>
      </c>
      <c r="C7" s="492"/>
      <c r="D7" s="493"/>
      <c r="E7" s="494"/>
      <c r="F7" s="495"/>
      <c r="G7" s="495"/>
      <c r="H7" s="496"/>
    </row>
    <row r="8" spans="1:8" s="57" customFormat="1" ht="12.75" x14ac:dyDescent="0.25">
      <c r="A8" s="52"/>
      <c r="B8" s="52"/>
      <c r="C8" s="53"/>
      <c r="D8" s="52"/>
      <c r="E8" s="54"/>
      <c r="F8" s="55"/>
      <c r="G8" s="56"/>
    </row>
    <row r="9" spans="1:8" s="147" customFormat="1" ht="27" x14ac:dyDescent="0.25">
      <c r="A9" s="145" t="s">
        <v>160</v>
      </c>
      <c r="B9" s="145" t="s">
        <v>159</v>
      </c>
      <c r="C9" s="150" t="s">
        <v>133</v>
      </c>
      <c r="D9" s="145" t="s">
        <v>158</v>
      </c>
      <c r="E9" s="155" t="s">
        <v>157</v>
      </c>
      <c r="F9" s="146" t="s">
        <v>156</v>
      </c>
      <c r="G9" s="148" t="s">
        <v>131</v>
      </c>
    </row>
    <row r="10" spans="1:8" s="149" customFormat="1" ht="13.5" x14ac:dyDescent="0.25">
      <c r="A10" s="148">
        <v>1</v>
      </c>
      <c r="B10" s="148">
        <v>2</v>
      </c>
      <c r="C10" s="156">
        <v>3</v>
      </c>
      <c r="D10" s="148">
        <v>4</v>
      </c>
      <c r="E10" s="155">
        <v>5</v>
      </c>
      <c r="F10" s="148">
        <v>6</v>
      </c>
      <c r="G10" s="148">
        <v>7</v>
      </c>
    </row>
    <row r="11" spans="1:8" s="499" customFormat="1" ht="13.5" x14ac:dyDescent="0.25">
      <c r="A11" s="499" t="s">
        <v>463</v>
      </c>
      <c r="E11" s="500"/>
    </row>
    <row r="12" spans="1:8" s="59" customFormat="1" ht="13.5" x14ac:dyDescent="0.25">
      <c r="A12" s="126">
        <v>1</v>
      </c>
      <c r="B12" s="126"/>
      <c r="C12" s="63" t="s">
        <v>464</v>
      </c>
      <c r="D12" s="64" t="s">
        <v>465</v>
      </c>
      <c r="E12" s="300">
        <v>5</v>
      </c>
      <c r="F12" s="126"/>
      <c r="G12" s="126"/>
    </row>
    <row r="13" spans="1:8" s="59" customFormat="1" ht="13.5" x14ac:dyDescent="0.25">
      <c r="A13" s="126">
        <v>3</v>
      </c>
      <c r="B13" s="126"/>
      <c r="C13" s="63" t="s">
        <v>466</v>
      </c>
      <c r="D13" s="64" t="s">
        <v>137</v>
      </c>
      <c r="E13" s="300">
        <v>1</v>
      </c>
      <c r="F13" s="126"/>
      <c r="G13" s="126"/>
    </row>
    <row r="14" spans="1:8" s="59" customFormat="1" ht="13.5" x14ac:dyDescent="0.25">
      <c r="A14" s="126">
        <v>6</v>
      </c>
      <c r="B14" s="64"/>
      <c r="C14" s="63" t="s">
        <v>467</v>
      </c>
      <c r="D14" s="64" t="s">
        <v>248</v>
      </c>
      <c r="E14" s="300">
        <f>8*2.2</f>
        <v>17.600000000000001</v>
      </c>
      <c r="F14" s="126"/>
      <c r="G14" s="126"/>
    </row>
    <row r="15" spans="1:8" s="504" customFormat="1" ht="13.5" x14ac:dyDescent="0.25">
      <c r="A15" s="501" t="s">
        <v>468</v>
      </c>
      <c r="B15" s="501"/>
      <c r="C15" s="501"/>
      <c r="D15" s="502"/>
      <c r="E15" s="503"/>
      <c r="F15" s="501"/>
      <c r="G15" s="501"/>
    </row>
    <row r="16" spans="1:8" s="68" customFormat="1" ht="38.25" x14ac:dyDescent="0.3">
      <c r="A16" s="126">
        <v>13</v>
      </c>
      <c r="B16" s="64"/>
      <c r="C16" s="84" t="s">
        <v>469</v>
      </c>
      <c r="D16" s="64" t="s">
        <v>137</v>
      </c>
      <c r="E16" s="505">
        <v>3</v>
      </c>
      <c r="F16" s="506"/>
      <c r="G16" s="507"/>
      <c r="H16" s="212"/>
    </row>
    <row r="17" spans="1:9" s="68" customFormat="1" x14ac:dyDescent="0.3">
      <c r="A17" s="126">
        <v>17</v>
      </c>
      <c r="B17" s="64"/>
      <c r="C17" s="84" t="s">
        <v>470</v>
      </c>
      <c r="D17" s="64" t="s">
        <v>137</v>
      </c>
      <c r="E17" s="505">
        <v>1</v>
      </c>
      <c r="F17" s="506"/>
      <c r="G17" s="507"/>
      <c r="H17" s="212"/>
    </row>
    <row r="18" spans="1:9" s="513" customFormat="1" x14ac:dyDescent="0.3">
      <c r="A18" s="508" t="s">
        <v>473</v>
      </c>
      <c r="B18" s="502"/>
      <c r="C18" s="502"/>
      <c r="D18" s="502"/>
      <c r="E18" s="509"/>
      <c r="F18" s="510"/>
      <c r="G18" s="511"/>
      <c r="H18" s="512"/>
    </row>
    <row r="19" spans="1:9" s="68" customFormat="1" ht="25.5" x14ac:dyDescent="0.3">
      <c r="A19" s="514">
        <v>24</v>
      </c>
      <c r="B19" s="64"/>
      <c r="C19" s="84" t="s">
        <v>474</v>
      </c>
      <c r="D19" s="64" t="s">
        <v>137</v>
      </c>
      <c r="E19" s="505">
        <v>1</v>
      </c>
      <c r="F19" s="506"/>
      <c r="G19" s="507"/>
      <c r="H19" s="315"/>
    </row>
    <row r="20" spans="1:9" s="68" customFormat="1" ht="45.75" customHeight="1" x14ac:dyDescent="0.3">
      <c r="A20" s="514">
        <v>25</v>
      </c>
      <c r="B20" s="64"/>
      <c r="C20" s="84" t="s">
        <v>485</v>
      </c>
      <c r="D20" s="64" t="s">
        <v>137</v>
      </c>
      <c r="E20" s="505">
        <v>1</v>
      </c>
      <c r="F20" s="506"/>
      <c r="G20" s="507"/>
      <c r="H20" s="315"/>
      <c r="I20" s="519"/>
    </row>
    <row r="21" spans="1:9" s="513" customFormat="1" x14ac:dyDescent="0.3">
      <c r="A21" s="508" t="s">
        <v>478</v>
      </c>
      <c r="B21" s="502"/>
      <c r="C21" s="502"/>
      <c r="D21" s="502"/>
      <c r="E21" s="509"/>
      <c r="F21" s="510"/>
      <c r="G21" s="511"/>
      <c r="H21" s="512"/>
    </row>
    <row r="22" spans="1:9" s="69" customFormat="1" ht="14.25" thickBot="1" x14ac:dyDescent="0.3">
      <c r="A22" s="515"/>
      <c r="B22" s="515"/>
      <c r="C22" s="168">
        <f>C11</f>
        <v>0</v>
      </c>
      <c r="D22" s="515"/>
      <c r="E22" s="516"/>
      <c r="F22" s="517"/>
      <c r="G22" s="518"/>
    </row>
    <row r="23" spans="1:9" s="58" customFormat="1" ht="14.25" thickBot="1" x14ac:dyDescent="0.3">
      <c r="A23" s="70"/>
      <c r="B23" s="70"/>
      <c r="C23" s="169" t="s">
        <v>135</v>
      </c>
      <c r="D23" s="70"/>
      <c r="E23" s="71"/>
      <c r="F23" s="72"/>
      <c r="G23" s="73"/>
      <c r="I23" s="520"/>
    </row>
    <row r="24" spans="1:9" s="58" customFormat="1" ht="13.5" x14ac:dyDescent="0.25">
      <c r="A24" s="74"/>
      <c r="B24" s="74"/>
      <c r="C24" s="170" t="s">
        <v>124</v>
      </c>
      <c r="D24" s="74"/>
      <c r="E24" s="75"/>
      <c r="F24" s="76"/>
      <c r="G24" s="77"/>
    </row>
    <row r="25" spans="1:9" x14ac:dyDescent="0.3">
      <c r="H25" s="211"/>
    </row>
  </sheetData>
  <mergeCells count="1">
    <mergeCell ref="A1:G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130" zoomScaleNormal="200" zoomScaleSheetLayoutView="130" workbookViewId="0">
      <selection activeCell="J25" sqref="J25"/>
    </sheetView>
  </sheetViews>
  <sheetFormatPr defaultRowHeight="16.5" x14ac:dyDescent="0.3"/>
  <cols>
    <col min="1" max="2" width="6.28515625" style="584" customWidth="1"/>
    <col min="3" max="3" width="52.5703125" style="565" customWidth="1"/>
    <col min="4" max="4" width="5.28515625" style="584" customWidth="1"/>
    <col min="5" max="5" width="8.7109375" style="585" customWidth="1"/>
    <col min="6" max="6" width="8.5703125" style="584" customWidth="1"/>
    <col min="7" max="7" width="8" style="586" customWidth="1"/>
    <col min="8" max="8" width="12.28515625" style="584" customWidth="1"/>
    <col min="9" max="16384" width="9.140625" style="587"/>
  </cols>
  <sheetData>
    <row r="1" spans="1:8" s="522" customFormat="1" ht="22.5" x14ac:dyDescent="0.25">
      <c r="A1" s="595" t="s">
        <v>496</v>
      </c>
      <c r="B1" s="595"/>
      <c r="C1" s="595"/>
      <c r="D1" s="595"/>
      <c r="E1" s="595"/>
      <c r="F1" s="595"/>
      <c r="G1" s="595"/>
      <c r="H1" s="521"/>
    </row>
    <row r="2" spans="1:8" s="523" customFormat="1" ht="12.75" x14ac:dyDescent="0.25">
      <c r="A2" s="523" t="s">
        <v>393</v>
      </c>
      <c r="B2" s="523" t="s">
        <v>190</v>
      </c>
      <c r="C2" s="524"/>
      <c r="E2" s="525"/>
      <c r="F2" s="526"/>
      <c r="G2" s="526"/>
    </row>
    <row r="3" spans="1:8" s="533" customFormat="1" ht="15" x14ac:dyDescent="0.3">
      <c r="A3" s="527" t="s">
        <v>181</v>
      </c>
      <c r="B3" s="527" t="s">
        <v>462</v>
      </c>
      <c r="C3" s="528"/>
      <c r="D3" s="529"/>
      <c r="E3" s="530"/>
      <c r="F3" s="531"/>
      <c r="G3" s="531"/>
      <c r="H3" s="532"/>
    </row>
    <row r="4" spans="1:8" s="225" customFormat="1" ht="15" x14ac:dyDescent="0.3">
      <c r="A4" s="219"/>
      <c r="B4" s="219" t="s">
        <v>492</v>
      </c>
      <c r="C4" s="242"/>
      <c r="D4" s="221"/>
      <c r="E4" s="243"/>
      <c r="F4" s="223"/>
      <c r="G4" s="223"/>
      <c r="H4" s="223"/>
    </row>
    <row r="5" spans="1:8" s="540" customFormat="1" ht="12.75" x14ac:dyDescent="0.2">
      <c r="A5" s="534" t="s">
        <v>180</v>
      </c>
      <c r="B5" s="534" t="s">
        <v>191</v>
      </c>
      <c r="C5" s="535"/>
      <c r="D5" s="536"/>
      <c r="E5" s="537"/>
      <c r="F5" s="538"/>
      <c r="G5" s="538"/>
      <c r="H5" s="539"/>
    </row>
    <row r="6" spans="1:8" s="540" customFormat="1" ht="12.75" x14ac:dyDescent="0.2">
      <c r="A6" s="534" t="s">
        <v>392</v>
      </c>
      <c r="B6" s="534"/>
      <c r="C6" s="535"/>
      <c r="D6" s="536"/>
      <c r="E6" s="537"/>
      <c r="F6" s="538"/>
      <c r="G6" s="538"/>
      <c r="H6" s="539"/>
    </row>
    <row r="7" spans="1:8" s="540" customFormat="1" ht="12.75" x14ac:dyDescent="0.2">
      <c r="A7" s="534" t="s">
        <v>221</v>
      </c>
      <c r="B7" s="541" t="s">
        <v>222</v>
      </c>
      <c r="C7" s="535"/>
      <c r="D7" s="536"/>
      <c r="E7" s="537"/>
      <c r="F7" s="538"/>
      <c r="G7" s="538"/>
      <c r="H7" s="539"/>
    </row>
    <row r="8" spans="1:8" s="547" customFormat="1" ht="12.75" x14ac:dyDescent="0.25">
      <c r="A8" s="542"/>
      <c r="B8" s="542"/>
      <c r="C8" s="543"/>
      <c r="D8" s="542"/>
      <c r="E8" s="544"/>
      <c r="F8" s="545"/>
      <c r="G8" s="546"/>
    </row>
    <row r="9" spans="1:8" s="426" customFormat="1" ht="27" x14ac:dyDescent="0.25">
      <c r="A9" s="548" t="s">
        <v>160</v>
      </c>
      <c r="B9" s="548" t="s">
        <v>159</v>
      </c>
      <c r="C9" s="549" t="s">
        <v>133</v>
      </c>
      <c r="D9" s="548" t="s">
        <v>158</v>
      </c>
      <c r="E9" s="550" t="s">
        <v>157</v>
      </c>
      <c r="F9" s="551" t="s">
        <v>156</v>
      </c>
      <c r="G9" s="552" t="s">
        <v>131</v>
      </c>
    </row>
    <row r="10" spans="1:8" s="554" customFormat="1" ht="13.5" x14ac:dyDescent="0.25">
      <c r="A10" s="552">
        <v>1</v>
      </c>
      <c r="B10" s="552">
        <v>2</v>
      </c>
      <c r="C10" s="553">
        <v>3</v>
      </c>
      <c r="D10" s="552">
        <v>4</v>
      </c>
      <c r="E10" s="550">
        <v>5</v>
      </c>
      <c r="F10" s="552">
        <v>6</v>
      </c>
      <c r="G10" s="552">
        <v>7</v>
      </c>
    </row>
    <row r="11" spans="1:8" s="555" customFormat="1" ht="13.5" x14ac:dyDescent="0.25">
      <c r="A11" s="555" t="s">
        <v>463</v>
      </c>
      <c r="E11" s="556"/>
    </row>
    <row r="12" spans="1:8" s="560" customFormat="1" ht="67.5" x14ac:dyDescent="0.25">
      <c r="A12" s="557"/>
      <c r="B12" s="558" t="s">
        <v>138</v>
      </c>
      <c r="C12" s="557" t="s">
        <v>489</v>
      </c>
      <c r="D12" s="557" t="s">
        <v>465</v>
      </c>
      <c r="E12" s="559">
        <v>464</v>
      </c>
      <c r="F12" s="557"/>
      <c r="G12" s="557"/>
    </row>
    <row r="13" spans="1:8" s="560" customFormat="1" ht="54" x14ac:dyDescent="0.25">
      <c r="A13" s="557"/>
      <c r="B13" s="558" t="s">
        <v>138</v>
      </c>
      <c r="C13" s="557" t="s">
        <v>487</v>
      </c>
      <c r="D13" s="557" t="s">
        <v>140</v>
      </c>
      <c r="E13" s="559">
        <v>10</v>
      </c>
      <c r="F13" s="557"/>
      <c r="G13" s="557"/>
    </row>
    <row r="14" spans="1:8" s="560" customFormat="1" ht="27" x14ac:dyDescent="0.25">
      <c r="A14" s="557"/>
      <c r="B14" s="558" t="s">
        <v>138</v>
      </c>
      <c r="C14" s="557" t="s">
        <v>488</v>
      </c>
      <c r="D14" s="557" t="s">
        <v>140</v>
      </c>
      <c r="E14" s="559">
        <v>12</v>
      </c>
      <c r="F14" s="557"/>
      <c r="G14" s="557"/>
    </row>
    <row r="15" spans="1:8" s="560" customFormat="1" ht="40.5" x14ac:dyDescent="0.25">
      <c r="A15" s="557"/>
      <c r="B15" s="558" t="s">
        <v>138</v>
      </c>
      <c r="C15" s="557" t="s">
        <v>490</v>
      </c>
      <c r="D15" s="557" t="s">
        <v>137</v>
      </c>
      <c r="E15" s="559">
        <v>5</v>
      </c>
      <c r="F15" s="557"/>
      <c r="G15" s="557"/>
    </row>
    <row r="16" spans="1:8" s="560" customFormat="1" ht="54" x14ac:dyDescent="0.25">
      <c r="A16" s="557"/>
      <c r="B16" s="558" t="s">
        <v>138</v>
      </c>
      <c r="C16" s="557" t="s">
        <v>486</v>
      </c>
      <c r="D16" s="557" t="s">
        <v>137</v>
      </c>
      <c r="E16" s="559">
        <v>2</v>
      </c>
      <c r="F16" s="557"/>
      <c r="G16" s="557"/>
    </row>
    <row r="17" spans="1:9" s="565" customFormat="1" ht="38.25" x14ac:dyDescent="0.3">
      <c r="A17" s="427">
        <v>22</v>
      </c>
      <c r="B17" s="428" t="s">
        <v>138</v>
      </c>
      <c r="C17" s="429" t="s">
        <v>471</v>
      </c>
      <c r="D17" s="428" t="s">
        <v>137</v>
      </c>
      <c r="E17" s="561">
        <v>12</v>
      </c>
      <c r="F17" s="562"/>
      <c r="G17" s="563"/>
      <c r="H17" s="564"/>
    </row>
    <row r="18" spans="1:9" s="565" customFormat="1" ht="38.25" x14ac:dyDescent="0.3">
      <c r="A18" s="427">
        <v>23</v>
      </c>
      <c r="B18" s="428" t="s">
        <v>138</v>
      </c>
      <c r="C18" s="429" t="s">
        <v>472</v>
      </c>
      <c r="D18" s="428" t="s">
        <v>137</v>
      </c>
      <c r="E18" s="561">
        <v>1</v>
      </c>
      <c r="F18" s="562"/>
      <c r="G18" s="563"/>
      <c r="H18" s="564"/>
    </row>
    <row r="19" spans="1:9" s="565" customFormat="1" ht="25.5" x14ac:dyDescent="0.3">
      <c r="A19" s="558">
        <v>26</v>
      </c>
      <c r="B19" s="428" t="s">
        <v>138</v>
      </c>
      <c r="C19" s="429" t="s">
        <v>475</v>
      </c>
      <c r="D19" s="428" t="s">
        <v>137</v>
      </c>
      <c r="E19" s="561">
        <v>1</v>
      </c>
      <c r="F19" s="562"/>
      <c r="G19" s="563"/>
      <c r="H19" s="564"/>
    </row>
    <row r="20" spans="1:9" s="565" customFormat="1" ht="25.5" x14ac:dyDescent="0.3">
      <c r="A20" s="558">
        <v>27</v>
      </c>
      <c r="B20" s="428" t="s">
        <v>138</v>
      </c>
      <c r="C20" s="429" t="s">
        <v>476</v>
      </c>
      <c r="D20" s="428" t="s">
        <v>137</v>
      </c>
      <c r="E20" s="561">
        <v>2</v>
      </c>
      <c r="F20" s="562"/>
      <c r="G20" s="563"/>
      <c r="H20" s="564"/>
    </row>
    <row r="21" spans="1:9" s="565" customFormat="1" ht="25.5" x14ac:dyDescent="0.3">
      <c r="A21" s="558">
        <v>28</v>
      </c>
      <c r="B21" s="428" t="s">
        <v>138</v>
      </c>
      <c r="C21" s="429" t="s">
        <v>477</v>
      </c>
      <c r="D21" s="428" t="s">
        <v>137</v>
      </c>
      <c r="E21" s="561">
        <v>1</v>
      </c>
      <c r="F21" s="562"/>
      <c r="G21" s="563"/>
      <c r="H21" s="564"/>
    </row>
    <row r="22" spans="1:9" s="565" customFormat="1" x14ac:dyDescent="0.3">
      <c r="A22" s="558">
        <v>33</v>
      </c>
      <c r="B22" s="428"/>
      <c r="C22" s="429" t="s">
        <v>479</v>
      </c>
      <c r="D22" s="428" t="s">
        <v>137</v>
      </c>
      <c r="E22" s="561">
        <v>1</v>
      </c>
      <c r="F22" s="562"/>
      <c r="G22" s="563"/>
      <c r="H22" s="564"/>
    </row>
    <row r="23" spans="1:9" s="565" customFormat="1" x14ac:dyDescent="0.3">
      <c r="A23" s="558">
        <v>34</v>
      </c>
      <c r="B23" s="428"/>
      <c r="C23" s="429" t="s">
        <v>480</v>
      </c>
      <c r="D23" s="428" t="s">
        <v>137</v>
      </c>
      <c r="E23" s="561">
        <v>1</v>
      </c>
      <c r="F23" s="562"/>
      <c r="G23" s="563"/>
      <c r="H23" s="564"/>
    </row>
    <row r="24" spans="1:9" s="565" customFormat="1" x14ac:dyDescent="0.3">
      <c r="A24" s="558">
        <v>35</v>
      </c>
      <c r="B24" s="428"/>
      <c r="C24" s="429" t="s">
        <v>481</v>
      </c>
      <c r="D24" s="428" t="s">
        <v>137</v>
      </c>
      <c r="E24" s="561">
        <v>3</v>
      </c>
      <c r="F24" s="562"/>
      <c r="G24" s="563"/>
      <c r="H24" s="564"/>
    </row>
    <row r="25" spans="1:9" s="565" customFormat="1" x14ac:dyDescent="0.3">
      <c r="A25" s="558">
        <v>36</v>
      </c>
      <c r="B25" s="428"/>
      <c r="C25" s="429" t="s">
        <v>482</v>
      </c>
      <c r="D25" s="428" t="s">
        <v>137</v>
      </c>
      <c r="E25" s="561">
        <v>2</v>
      </c>
      <c r="F25" s="562"/>
      <c r="G25" s="563"/>
      <c r="H25" s="564"/>
    </row>
    <row r="26" spans="1:9" s="565" customFormat="1" x14ac:dyDescent="0.3">
      <c r="A26" s="558">
        <v>37</v>
      </c>
      <c r="B26" s="428"/>
      <c r="C26" s="429" t="s">
        <v>483</v>
      </c>
      <c r="D26" s="428" t="s">
        <v>137</v>
      </c>
      <c r="E26" s="561">
        <v>1</v>
      </c>
      <c r="F26" s="562"/>
      <c r="G26" s="563"/>
      <c r="H26" s="564"/>
    </row>
    <row r="27" spans="1:9" s="565" customFormat="1" ht="17.25" thickBot="1" x14ac:dyDescent="0.35">
      <c r="A27" s="558">
        <v>38</v>
      </c>
      <c r="B27" s="428"/>
      <c r="C27" s="429" t="s">
        <v>484</v>
      </c>
      <c r="D27" s="428" t="s">
        <v>137</v>
      </c>
      <c r="E27" s="561">
        <v>1</v>
      </c>
      <c r="F27" s="562"/>
      <c r="G27" s="563"/>
      <c r="H27" s="564"/>
    </row>
    <row r="28" spans="1:9" s="565" customFormat="1" ht="17.25" thickBot="1" x14ac:dyDescent="0.35">
      <c r="A28" s="558">
        <v>39</v>
      </c>
      <c r="B28" s="428"/>
      <c r="C28" s="429" t="s">
        <v>286</v>
      </c>
      <c r="D28" s="428" t="s">
        <v>137</v>
      </c>
      <c r="E28" s="561">
        <v>2</v>
      </c>
      <c r="F28" s="562"/>
      <c r="G28" s="563"/>
      <c r="H28" s="564"/>
      <c r="I28" s="566"/>
    </row>
    <row r="29" spans="1:9" s="565" customFormat="1" x14ac:dyDescent="0.3">
      <c r="A29" s="558">
        <v>40</v>
      </c>
      <c r="B29" s="428"/>
      <c r="C29" s="429" t="s">
        <v>240</v>
      </c>
      <c r="D29" s="428" t="s">
        <v>137</v>
      </c>
      <c r="E29" s="561">
        <v>2</v>
      </c>
      <c r="F29" s="562"/>
      <c r="G29" s="563"/>
      <c r="H29" s="564"/>
    </row>
    <row r="31" spans="1:9" s="572" customFormat="1" ht="13.5" x14ac:dyDescent="0.25">
      <c r="A31" s="567"/>
      <c r="B31" s="567"/>
      <c r="C31" s="568">
        <f>C11</f>
        <v>0</v>
      </c>
      <c r="D31" s="567"/>
      <c r="E31" s="569"/>
      <c r="F31" s="570"/>
      <c r="G31" s="571"/>
      <c r="I31" s="573"/>
    </row>
    <row r="32" spans="1:9" s="426" customFormat="1" ht="13.5" x14ac:dyDescent="0.25">
      <c r="A32" s="574"/>
      <c r="B32" s="574"/>
      <c r="C32" s="575" t="s">
        <v>135</v>
      </c>
      <c r="D32" s="574"/>
      <c r="E32" s="576"/>
      <c r="F32" s="577"/>
      <c r="G32" s="578"/>
    </row>
    <row r="33" spans="1:7" s="426" customFormat="1" ht="13.5" x14ac:dyDescent="0.25">
      <c r="A33" s="579"/>
      <c r="B33" s="579"/>
      <c r="C33" s="580" t="s">
        <v>124</v>
      </c>
      <c r="D33" s="579"/>
      <c r="E33" s="581"/>
      <c r="F33" s="582"/>
      <c r="G33" s="583"/>
    </row>
    <row r="67" spans="8:9" x14ac:dyDescent="0.3">
      <c r="I67" s="587">
        <f>SUM(F60:F67)</f>
        <v>0</v>
      </c>
    </row>
    <row r="68" spans="8:9" x14ac:dyDescent="0.3">
      <c r="H68" s="584">
        <f>SUM(H60:H67)</f>
        <v>0</v>
      </c>
    </row>
  </sheetData>
  <mergeCells count="1">
    <mergeCell ref="A1:G1"/>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zoomScale="130" zoomScaleNormal="100" zoomScaleSheetLayoutView="130" workbookViewId="0">
      <selection activeCell="J25" sqref="J25"/>
    </sheetView>
  </sheetViews>
  <sheetFormatPr defaultRowHeight="15" x14ac:dyDescent="0.25"/>
  <cols>
    <col min="1" max="1" width="8.7109375" style="186" customWidth="1"/>
    <col min="2" max="2" width="8.28515625" style="186" customWidth="1"/>
    <col min="3" max="3" width="37.5703125" style="166" customWidth="1"/>
    <col min="4" max="4" width="3" style="186" customWidth="1"/>
    <col min="5" max="5" width="10.140625" style="186" customWidth="1"/>
    <col min="6" max="7" width="8" style="186" customWidth="1"/>
    <col min="8" max="8" width="12.28515625" style="186" customWidth="1"/>
    <col min="9" max="16384" width="9.140625" style="88"/>
  </cols>
  <sheetData>
    <row r="1" spans="1:8" s="158" customFormat="1" ht="22.5" x14ac:dyDescent="0.25">
      <c r="A1" s="594" t="s">
        <v>496</v>
      </c>
      <c r="B1" s="594"/>
      <c r="C1" s="594"/>
      <c r="D1" s="594"/>
      <c r="E1" s="594"/>
      <c r="F1" s="594"/>
      <c r="G1" s="594"/>
      <c r="H1" s="159"/>
    </row>
    <row r="2" spans="1:8" s="22" customFormat="1" ht="12.75" x14ac:dyDescent="0.25">
      <c r="A2" s="22" t="s">
        <v>393</v>
      </c>
      <c r="B2" s="22" t="s">
        <v>190</v>
      </c>
      <c r="F2" s="217"/>
      <c r="G2" s="218"/>
      <c r="H2" s="217"/>
    </row>
    <row r="3" spans="1:8" s="225" customFormat="1" x14ac:dyDescent="0.3">
      <c r="A3" s="219" t="s">
        <v>181</v>
      </c>
      <c r="B3" s="219" t="s">
        <v>395</v>
      </c>
      <c r="C3" s="220"/>
      <c r="D3" s="221"/>
      <c r="E3" s="222"/>
      <c r="F3" s="223"/>
      <c r="G3" s="224"/>
      <c r="H3" s="223"/>
    </row>
    <row r="4" spans="1:8" s="232" customFormat="1" ht="12.75" x14ac:dyDescent="0.2">
      <c r="A4" s="226" t="s">
        <v>180</v>
      </c>
      <c r="B4" s="226" t="s">
        <v>191</v>
      </c>
      <c r="C4" s="227"/>
      <c r="D4" s="228"/>
      <c r="E4" s="229"/>
      <c r="F4" s="230"/>
      <c r="G4" s="231"/>
      <c r="H4" s="230"/>
    </row>
    <row r="5" spans="1:8" s="232" customFormat="1" ht="12.75" x14ac:dyDescent="0.2">
      <c r="A5" s="226" t="s">
        <v>392</v>
      </c>
      <c r="B5" s="226"/>
      <c r="C5" s="227"/>
      <c r="D5" s="228"/>
      <c r="E5" s="229"/>
      <c r="F5" s="230"/>
      <c r="G5" s="231"/>
      <c r="H5" s="230"/>
    </row>
    <row r="6" spans="1:8" s="232" customFormat="1" ht="12.75" x14ac:dyDescent="0.2">
      <c r="A6" s="226" t="s">
        <v>221</v>
      </c>
      <c r="B6" s="233" t="s">
        <v>222</v>
      </c>
      <c r="C6" s="227"/>
      <c r="D6" s="228"/>
      <c r="E6" s="229"/>
      <c r="F6" s="230"/>
      <c r="G6" s="231"/>
      <c r="H6" s="230"/>
    </row>
    <row r="7" spans="1:8" s="67" customFormat="1" ht="16.5" x14ac:dyDescent="0.3">
      <c r="A7" s="178"/>
      <c r="B7" s="178"/>
      <c r="C7" s="162"/>
      <c r="D7" s="178"/>
      <c r="E7" s="178"/>
      <c r="F7" s="178"/>
      <c r="G7" s="178"/>
      <c r="H7" s="178"/>
    </row>
    <row r="8" spans="1:8" s="147" customFormat="1" ht="27" x14ac:dyDescent="0.25">
      <c r="A8" s="145" t="s">
        <v>160</v>
      </c>
      <c r="B8" s="145" t="s">
        <v>159</v>
      </c>
      <c r="C8" s="150" t="s">
        <v>133</v>
      </c>
      <c r="D8" s="145" t="s">
        <v>158</v>
      </c>
      <c r="E8" s="145" t="s">
        <v>157</v>
      </c>
      <c r="F8" s="146" t="s">
        <v>156</v>
      </c>
      <c r="G8" s="146" t="s">
        <v>131</v>
      </c>
      <c r="H8" s="146" t="s">
        <v>155</v>
      </c>
    </row>
    <row r="9" spans="1:8" s="149" customFormat="1" ht="14.25" thickBot="1" x14ac:dyDescent="0.3">
      <c r="A9" s="151">
        <v>1</v>
      </c>
      <c r="B9" s="151">
        <v>2</v>
      </c>
      <c r="C9" s="152">
        <v>3</v>
      </c>
      <c r="D9" s="151">
        <v>4</v>
      </c>
      <c r="E9" s="151">
        <v>5</v>
      </c>
      <c r="F9" s="151">
        <v>6</v>
      </c>
      <c r="G9" s="151">
        <v>7</v>
      </c>
      <c r="H9" s="151">
        <v>8</v>
      </c>
    </row>
    <row r="10" spans="1:8" s="60" customFormat="1" ht="13.5" x14ac:dyDescent="0.25">
      <c r="A10" s="80"/>
      <c r="B10" s="81"/>
      <c r="C10" s="82"/>
      <c r="D10" s="81"/>
      <c r="E10" s="81"/>
      <c r="F10" s="81"/>
      <c r="G10" s="81"/>
      <c r="H10" s="83"/>
    </row>
    <row r="11" spans="1:8" s="65" customFormat="1" ht="13.5" x14ac:dyDescent="0.25">
      <c r="A11" s="596" t="s">
        <v>178</v>
      </c>
      <c r="B11" s="597"/>
      <c r="C11" s="597"/>
      <c r="D11" s="597"/>
      <c r="E11" s="597"/>
      <c r="F11" s="597"/>
      <c r="G11" s="597"/>
      <c r="H11" s="598"/>
    </row>
    <row r="12" spans="1:8" s="89" customFormat="1" ht="51" x14ac:dyDescent="0.3">
      <c r="A12" s="179">
        <v>1</v>
      </c>
      <c r="B12" s="66" t="s">
        <v>460</v>
      </c>
      <c r="C12" s="84" t="s">
        <v>260</v>
      </c>
      <c r="D12" s="64" t="s">
        <v>163</v>
      </c>
      <c r="E12" s="193">
        <f>'R_ZALOŽENÍ ZÁHONŮ_keře'!E13*3</f>
        <v>7044</v>
      </c>
      <c r="F12" s="193"/>
      <c r="G12" s="66"/>
      <c r="H12" s="86" t="s">
        <v>233</v>
      </c>
    </row>
    <row r="13" spans="1:8" s="87" customFormat="1" ht="38.25" x14ac:dyDescent="0.25">
      <c r="A13" s="179">
        <v>2</v>
      </c>
      <c r="B13" s="64" t="s">
        <v>151</v>
      </c>
      <c r="C13" s="84" t="s">
        <v>419</v>
      </c>
      <c r="D13" s="64" t="s">
        <v>145</v>
      </c>
      <c r="E13" s="85">
        <f>(250*0.08*8)+(67*0.03*8)+(30*5)</f>
        <v>326.08</v>
      </c>
      <c r="F13" s="85"/>
      <c r="G13" s="85"/>
      <c r="H13" s="86"/>
    </row>
    <row r="14" spans="1:8" s="93" customFormat="1" ht="38.25" x14ac:dyDescent="0.25">
      <c r="A14" s="180">
        <v>3</v>
      </c>
      <c r="B14" s="90" t="s">
        <v>138</v>
      </c>
      <c r="C14" s="163" t="s">
        <v>175</v>
      </c>
      <c r="D14" s="90" t="s">
        <v>237</v>
      </c>
      <c r="E14" s="91">
        <f>E13</f>
        <v>326.08</v>
      </c>
      <c r="F14" s="91"/>
      <c r="G14" s="91"/>
      <c r="H14" s="92"/>
    </row>
    <row r="15" spans="1:8" s="89" customFormat="1" ht="16.5" x14ac:dyDescent="0.3">
      <c r="A15" s="181"/>
      <c r="B15" s="182"/>
      <c r="C15" s="164"/>
      <c r="D15" s="182"/>
      <c r="E15" s="182"/>
      <c r="F15" s="182"/>
      <c r="G15" s="195"/>
      <c r="H15" s="194"/>
    </row>
    <row r="16" spans="1:8" s="89" customFormat="1" ht="16.5" x14ac:dyDescent="0.3">
      <c r="A16" s="596" t="s">
        <v>177</v>
      </c>
      <c r="B16" s="597"/>
      <c r="C16" s="597"/>
      <c r="D16" s="597"/>
      <c r="E16" s="597"/>
      <c r="F16" s="597"/>
      <c r="G16" s="597"/>
      <c r="H16" s="598"/>
    </row>
    <row r="17" spans="1:8" s="89" customFormat="1" ht="51" x14ac:dyDescent="0.3">
      <c r="A17" s="179">
        <v>1</v>
      </c>
      <c r="B17" s="66" t="s">
        <v>460</v>
      </c>
      <c r="C17" s="84" t="s">
        <v>260</v>
      </c>
      <c r="D17" s="64" t="s">
        <v>163</v>
      </c>
      <c r="E17" s="193">
        <f>E12</f>
        <v>7044</v>
      </c>
      <c r="F17" s="193"/>
      <c r="G17" s="66"/>
      <c r="H17" s="86" t="s">
        <v>233</v>
      </c>
    </row>
    <row r="18" spans="1:8" s="89" customFormat="1" ht="38.25" x14ac:dyDescent="0.3">
      <c r="A18" s="179">
        <v>2</v>
      </c>
      <c r="B18" s="64" t="s">
        <v>151</v>
      </c>
      <c r="C18" s="84" t="s">
        <v>418</v>
      </c>
      <c r="D18" s="64" t="s">
        <v>145</v>
      </c>
      <c r="E18" s="85">
        <f>E13</f>
        <v>326.08</v>
      </c>
      <c r="F18" s="85"/>
      <c r="G18" s="85"/>
      <c r="H18" s="86"/>
    </row>
    <row r="19" spans="1:8" s="160" customFormat="1" ht="38.25" x14ac:dyDescent="0.3">
      <c r="A19" s="180">
        <v>3</v>
      </c>
      <c r="B19" s="90" t="s">
        <v>138</v>
      </c>
      <c r="C19" s="163" t="s">
        <v>175</v>
      </c>
      <c r="D19" s="90" t="s">
        <v>237</v>
      </c>
      <c r="E19" s="91">
        <f>E14</f>
        <v>326.08</v>
      </c>
      <c r="F19" s="91"/>
      <c r="G19" s="91"/>
      <c r="H19" s="92"/>
    </row>
    <row r="20" spans="1:8" s="89" customFormat="1" ht="16.5" x14ac:dyDescent="0.3">
      <c r="A20" s="181"/>
      <c r="B20" s="182"/>
      <c r="C20" s="164"/>
      <c r="D20" s="182"/>
      <c r="E20" s="182"/>
      <c r="F20" s="182"/>
      <c r="G20" s="195"/>
      <c r="H20" s="194"/>
    </row>
    <row r="21" spans="1:8" s="89" customFormat="1" ht="16.5" x14ac:dyDescent="0.3">
      <c r="A21" s="596" t="s">
        <v>176</v>
      </c>
      <c r="B21" s="597"/>
      <c r="C21" s="597"/>
      <c r="D21" s="597"/>
      <c r="E21" s="597"/>
      <c r="F21" s="597"/>
      <c r="G21" s="597"/>
      <c r="H21" s="598"/>
    </row>
    <row r="22" spans="1:8" s="89" customFormat="1" ht="51" x14ac:dyDescent="0.3">
      <c r="A22" s="179">
        <v>1</v>
      </c>
      <c r="B22" s="66" t="s">
        <v>460</v>
      </c>
      <c r="C22" s="84" t="s">
        <v>260</v>
      </c>
      <c r="D22" s="64" t="s">
        <v>163</v>
      </c>
      <c r="E22" s="193">
        <f>E17</f>
        <v>7044</v>
      </c>
      <c r="F22" s="193"/>
      <c r="G22" s="66"/>
      <c r="H22" s="86" t="s">
        <v>233</v>
      </c>
    </row>
    <row r="23" spans="1:8" s="89" customFormat="1" ht="25.5" x14ac:dyDescent="0.3">
      <c r="A23" s="179">
        <v>2</v>
      </c>
      <c r="B23" s="64" t="s">
        <v>151</v>
      </c>
      <c r="C23" s="84" t="s">
        <v>417</v>
      </c>
      <c r="D23" s="64" t="s">
        <v>145</v>
      </c>
      <c r="E23" s="85">
        <f>(237*0.08*5)+(67*0.03*5)</f>
        <v>104.85000000000001</v>
      </c>
      <c r="F23" s="85"/>
      <c r="G23" s="85"/>
      <c r="H23" s="86"/>
    </row>
    <row r="24" spans="1:8" s="160" customFormat="1" ht="38.25" x14ac:dyDescent="0.3">
      <c r="A24" s="180">
        <v>3</v>
      </c>
      <c r="B24" s="90" t="s">
        <v>138</v>
      </c>
      <c r="C24" s="163" t="s">
        <v>175</v>
      </c>
      <c r="D24" s="90" t="s">
        <v>237</v>
      </c>
      <c r="E24" s="91">
        <f>E23</f>
        <v>104.85000000000001</v>
      </c>
      <c r="F24" s="91"/>
      <c r="G24" s="91"/>
      <c r="H24" s="92"/>
    </row>
    <row r="25" spans="1:8" s="67" customFormat="1" ht="16.5" x14ac:dyDescent="0.3">
      <c r="A25" s="183"/>
      <c r="B25" s="178"/>
      <c r="C25" s="162"/>
      <c r="D25" s="178"/>
      <c r="E25" s="178"/>
      <c r="F25" s="178"/>
      <c r="G25" s="195"/>
      <c r="H25" s="196"/>
    </row>
    <row r="26" spans="1:8" s="67" customFormat="1" ht="17.25" thickBot="1" x14ac:dyDescent="0.35">
      <c r="A26" s="183"/>
      <c r="B26" s="178"/>
      <c r="C26" s="162"/>
      <c r="D26" s="178"/>
      <c r="E26" s="178"/>
      <c r="F26" s="178"/>
      <c r="G26" s="195"/>
      <c r="H26" s="196"/>
    </row>
    <row r="27" spans="1:8" s="161" customFormat="1" ht="17.25" thickBot="1" x14ac:dyDescent="0.35">
      <c r="A27" s="184" t="s">
        <v>174</v>
      </c>
      <c r="B27" s="185"/>
      <c r="C27" s="165"/>
      <c r="D27" s="185"/>
      <c r="E27" s="185"/>
      <c r="F27" s="185"/>
      <c r="G27" s="185"/>
      <c r="H27" s="197"/>
    </row>
    <row r="28" spans="1:8" s="67" customFormat="1" ht="16.5" x14ac:dyDescent="0.3">
      <c r="A28" s="178"/>
      <c r="B28" s="178"/>
      <c r="C28" s="162"/>
      <c r="D28" s="178"/>
      <c r="E28" s="178"/>
      <c r="F28" s="178"/>
      <c r="G28" s="178"/>
      <c r="H28" s="178"/>
    </row>
    <row r="29" spans="1:8" s="67" customFormat="1" ht="16.5" x14ac:dyDescent="0.3">
      <c r="A29" s="178"/>
      <c r="B29" s="178"/>
      <c r="C29" s="162"/>
      <c r="D29" s="178"/>
      <c r="E29" s="178"/>
      <c r="F29" s="178"/>
      <c r="G29" s="178"/>
      <c r="H29" s="178"/>
    </row>
    <row r="30" spans="1:8" s="67" customFormat="1" ht="16.5" x14ac:dyDescent="0.3">
      <c r="A30" s="178"/>
      <c r="B30" s="178"/>
      <c r="C30" s="162"/>
      <c r="D30" s="178"/>
      <c r="E30" s="178"/>
      <c r="F30" s="178"/>
      <c r="G30" s="178"/>
      <c r="H30" s="178"/>
    </row>
    <row r="31" spans="1:8" s="67" customFormat="1" ht="16.5" x14ac:dyDescent="0.3">
      <c r="A31" s="178"/>
      <c r="B31" s="178"/>
      <c r="C31" s="162"/>
      <c r="D31" s="178"/>
      <c r="E31" s="178"/>
      <c r="F31" s="178"/>
      <c r="G31" s="178"/>
      <c r="H31" s="178"/>
    </row>
    <row r="32" spans="1:8" s="67" customFormat="1" ht="16.5" x14ac:dyDescent="0.3">
      <c r="A32" s="178"/>
      <c r="B32" s="178"/>
      <c r="C32" s="162"/>
      <c r="D32" s="178"/>
      <c r="E32" s="178"/>
      <c r="F32" s="178"/>
      <c r="G32" s="178"/>
      <c r="H32" s="178"/>
    </row>
    <row r="33" spans="1:8" s="67" customFormat="1" ht="16.5" x14ac:dyDescent="0.3">
      <c r="A33" s="178"/>
      <c r="B33" s="178"/>
      <c r="C33" s="162"/>
      <c r="D33" s="178"/>
      <c r="E33" s="178"/>
      <c r="F33" s="178"/>
      <c r="G33" s="178"/>
      <c r="H33" s="178"/>
    </row>
    <row r="34" spans="1:8" s="67" customFormat="1" ht="16.5" x14ac:dyDescent="0.3">
      <c r="A34" s="178"/>
      <c r="B34" s="178"/>
      <c r="C34" s="162"/>
      <c r="D34" s="178"/>
      <c r="E34" s="178"/>
      <c r="F34" s="178"/>
      <c r="G34" s="178"/>
      <c r="H34" s="178"/>
    </row>
    <row r="35" spans="1:8" s="67" customFormat="1" ht="16.5" x14ac:dyDescent="0.3">
      <c r="A35" s="178"/>
      <c r="B35" s="178"/>
      <c r="C35" s="162"/>
      <c r="D35" s="178"/>
      <c r="E35" s="178"/>
      <c r="F35" s="178"/>
      <c r="G35" s="178"/>
      <c r="H35" s="178"/>
    </row>
    <row r="36" spans="1:8" s="67" customFormat="1" ht="16.5" x14ac:dyDescent="0.3">
      <c r="A36" s="178"/>
      <c r="B36" s="178"/>
      <c r="C36" s="162"/>
      <c r="D36" s="178"/>
      <c r="E36" s="178"/>
      <c r="F36" s="178"/>
      <c r="G36" s="178"/>
      <c r="H36" s="178"/>
    </row>
    <row r="37" spans="1:8" s="67" customFormat="1" ht="16.5" x14ac:dyDescent="0.3">
      <c r="A37" s="178"/>
      <c r="B37" s="178"/>
      <c r="C37" s="162"/>
      <c r="D37" s="178"/>
      <c r="E37" s="178"/>
      <c r="F37" s="178"/>
      <c r="G37" s="178"/>
      <c r="H37" s="178"/>
    </row>
    <row r="38" spans="1:8" s="67" customFormat="1" ht="16.5" x14ac:dyDescent="0.3">
      <c r="A38" s="178"/>
      <c r="B38" s="178"/>
      <c r="C38" s="162"/>
      <c r="D38" s="178"/>
      <c r="E38" s="178"/>
      <c r="F38" s="178"/>
      <c r="G38" s="178"/>
      <c r="H38" s="178"/>
    </row>
    <row r="39" spans="1:8" s="67" customFormat="1" ht="16.5" x14ac:dyDescent="0.3">
      <c r="A39" s="178"/>
      <c r="B39" s="178"/>
      <c r="C39" s="162"/>
      <c r="D39" s="178"/>
      <c r="E39" s="178"/>
      <c r="F39" s="178"/>
      <c r="G39" s="178"/>
      <c r="H39" s="178"/>
    </row>
    <row r="40" spans="1:8" s="67" customFormat="1" ht="16.5" x14ac:dyDescent="0.3">
      <c r="A40" s="178"/>
      <c r="B40" s="178"/>
      <c r="C40" s="162"/>
      <c r="D40" s="178"/>
      <c r="E40" s="178"/>
      <c r="F40" s="178"/>
      <c r="G40" s="178"/>
      <c r="H40" s="178"/>
    </row>
    <row r="41" spans="1:8" s="67" customFormat="1" ht="16.5" x14ac:dyDescent="0.3">
      <c r="A41" s="178"/>
      <c r="B41" s="178"/>
      <c r="C41" s="162"/>
      <c r="D41" s="178"/>
      <c r="E41" s="178"/>
      <c r="F41" s="178"/>
      <c r="G41" s="178"/>
      <c r="H41" s="178"/>
    </row>
    <row r="42" spans="1:8" s="67" customFormat="1" ht="16.5" x14ac:dyDescent="0.3">
      <c r="A42" s="178"/>
      <c r="B42" s="178"/>
      <c r="C42" s="162"/>
      <c r="D42" s="178"/>
      <c r="E42" s="178"/>
      <c r="F42" s="178"/>
      <c r="G42" s="178"/>
      <c r="H42" s="178"/>
    </row>
    <row r="43" spans="1:8" s="67" customFormat="1" ht="16.5" x14ac:dyDescent="0.3">
      <c r="A43" s="178"/>
      <c r="B43" s="178"/>
      <c r="C43" s="162"/>
      <c r="D43" s="178"/>
      <c r="E43" s="178"/>
      <c r="F43" s="178"/>
      <c r="G43" s="178"/>
      <c r="H43" s="178"/>
    </row>
    <row r="44" spans="1:8" s="67" customFormat="1" ht="16.5" x14ac:dyDescent="0.3">
      <c r="A44" s="178"/>
      <c r="B44" s="178"/>
      <c r="C44" s="162"/>
      <c r="D44" s="178"/>
      <c r="E44" s="178"/>
      <c r="F44" s="178"/>
      <c r="G44" s="178"/>
      <c r="H44" s="178"/>
    </row>
    <row r="45" spans="1:8" s="67" customFormat="1" ht="16.5" x14ac:dyDescent="0.3">
      <c r="A45" s="178"/>
      <c r="B45" s="178"/>
      <c r="C45" s="162"/>
      <c r="D45" s="178"/>
      <c r="E45" s="178"/>
      <c r="F45" s="178"/>
      <c r="G45" s="178"/>
      <c r="H45" s="178"/>
    </row>
    <row r="46" spans="1:8" s="67" customFormat="1" ht="16.5" x14ac:dyDescent="0.3">
      <c r="A46" s="178"/>
      <c r="B46" s="178"/>
      <c r="C46" s="162"/>
      <c r="D46" s="178"/>
      <c r="E46" s="178"/>
      <c r="F46" s="178"/>
      <c r="G46" s="178"/>
      <c r="H46" s="178"/>
    </row>
    <row r="47" spans="1:8" s="67" customFormat="1" ht="16.5" x14ac:dyDescent="0.3">
      <c r="A47" s="178"/>
      <c r="B47" s="178"/>
      <c r="C47" s="162"/>
      <c r="D47" s="178"/>
      <c r="E47" s="178"/>
      <c r="F47" s="178"/>
      <c r="G47" s="178"/>
      <c r="H47" s="178"/>
    </row>
    <row r="48" spans="1:8" s="67" customFormat="1" ht="16.5" x14ac:dyDescent="0.3">
      <c r="A48" s="178"/>
      <c r="B48" s="178"/>
      <c r="C48" s="162"/>
      <c r="D48" s="178"/>
      <c r="E48" s="178"/>
      <c r="F48" s="178"/>
      <c r="G48" s="178"/>
      <c r="H48" s="178"/>
    </row>
    <row r="49" spans="1:8" s="67" customFormat="1" ht="16.5" x14ac:dyDescent="0.3">
      <c r="A49" s="178"/>
      <c r="B49" s="178"/>
      <c r="C49" s="162"/>
      <c r="D49" s="178"/>
      <c r="E49" s="178"/>
      <c r="F49" s="178"/>
      <c r="G49" s="178"/>
      <c r="H49" s="178"/>
    </row>
    <row r="50" spans="1:8" s="67" customFormat="1" ht="16.5" x14ac:dyDescent="0.3">
      <c r="A50" s="178"/>
      <c r="B50" s="178"/>
      <c r="C50" s="162"/>
      <c r="D50" s="178"/>
      <c r="E50" s="178"/>
      <c r="F50" s="178"/>
      <c r="G50" s="178"/>
      <c r="H50" s="178"/>
    </row>
    <row r="51" spans="1:8" s="67" customFormat="1" ht="16.5" x14ac:dyDescent="0.3">
      <c r="A51" s="178"/>
      <c r="B51" s="178"/>
      <c r="C51" s="162"/>
      <c r="D51" s="178"/>
      <c r="E51" s="178"/>
      <c r="F51" s="178"/>
      <c r="G51" s="178"/>
      <c r="H51" s="178"/>
    </row>
    <row r="52" spans="1:8" s="67" customFormat="1" ht="16.5" x14ac:dyDescent="0.3">
      <c r="A52" s="178"/>
      <c r="B52" s="178"/>
      <c r="C52" s="162"/>
      <c r="D52" s="178"/>
      <c r="E52" s="178"/>
      <c r="F52" s="178"/>
      <c r="G52" s="178"/>
      <c r="H52" s="178"/>
    </row>
    <row r="53" spans="1:8" s="67" customFormat="1" ht="16.5" x14ac:dyDescent="0.3">
      <c r="A53" s="178"/>
      <c r="B53" s="178"/>
      <c r="C53" s="162"/>
      <c r="D53" s="178"/>
      <c r="E53" s="178"/>
      <c r="F53" s="178"/>
      <c r="G53" s="178"/>
      <c r="H53" s="178"/>
    </row>
    <row r="54" spans="1:8" s="67" customFormat="1" ht="16.5" x14ac:dyDescent="0.3">
      <c r="A54" s="178"/>
      <c r="B54" s="178"/>
      <c r="C54" s="162"/>
      <c r="D54" s="178"/>
      <c r="E54" s="178"/>
      <c r="F54" s="178"/>
      <c r="G54" s="178"/>
      <c r="H54" s="178"/>
    </row>
    <row r="55" spans="1:8" s="67" customFormat="1" ht="16.5" x14ac:dyDescent="0.3">
      <c r="A55" s="178"/>
      <c r="B55" s="178"/>
      <c r="C55" s="162"/>
      <c r="D55" s="178"/>
      <c r="E55" s="178"/>
      <c r="F55" s="178"/>
      <c r="G55" s="178"/>
      <c r="H55" s="178"/>
    </row>
    <row r="56" spans="1:8" s="67" customFormat="1" ht="16.5" x14ac:dyDescent="0.3">
      <c r="A56" s="178"/>
      <c r="B56" s="178"/>
      <c r="C56" s="162"/>
      <c r="D56" s="178"/>
      <c r="E56" s="178"/>
      <c r="F56" s="178"/>
      <c r="G56" s="178"/>
      <c r="H56" s="178"/>
    </row>
    <row r="57" spans="1:8" s="67" customFormat="1" ht="16.5" x14ac:dyDescent="0.3">
      <c r="A57" s="178"/>
      <c r="B57" s="178"/>
      <c r="C57" s="162"/>
      <c r="D57" s="178"/>
      <c r="E57" s="178"/>
      <c r="F57" s="178"/>
      <c r="G57" s="178"/>
      <c r="H57" s="178"/>
    </row>
    <row r="58" spans="1:8" s="67" customFormat="1" ht="16.5" x14ac:dyDescent="0.3">
      <c r="A58" s="178"/>
      <c r="B58" s="178"/>
      <c r="C58" s="162"/>
      <c r="D58" s="178"/>
      <c r="E58" s="178"/>
      <c r="F58" s="178"/>
      <c r="G58" s="178"/>
      <c r="H58" s="178"/>
    </row>
    <row r="59" spans="1:8" s="67" customFormat="1" ht="16.5" x14ac:dyDescent="0.3">
      <c r="A59" s="178"/>
      <c r="B59" s="178"/>
      <c r="C59" s="162"/>
      <c r="D59" s="178"/>
      <c r="E59" s="178"/>
      <c r="F59" s="178"/>
      <c r="G59" s="178"/>
      <c r="H59" s="178"/>
    </row>
    <row r="60" spans="1:8" s="67" customFormat="1" ht="16.5" x14ac:dyDescent="0.3">
      <c r="A60" s="178"/>
      <c r="B60" s="178"/>
      <c r="C60" s="162"/>
      <c r="D60" s="178"/>
      <c r="E60" s="178"/>
      <c r="F60" s="178"/>
      <c r="G60" s="178"/>
      <c r="H60" s="178"/>
    </row>
    <row r="61" spans="1:8" s="67" customFormat="1" ht="16.5" x14ac:dyDescent="0.3">
      <c r="A61" s="178"/>
      <c r="B61" s="178"/>
      <c r="C61" s="162"/>
      <c r="D61" s="178"/>
      <c r="E61" s="178"/>
      <c r="F61" s="178"/>
      <c r="G61" s="178"/>
      <c r="H61" s="178"/>
    </row>
    <row r="62" spans="1:8" s="67" customFormat="1" ht="16.5" x14ac:dyDescent="0.3">
      <c r="A62" s="178"/>
      <c r="B62" s="178"/>
      <c r="C62" s="162"/>
      <c r="D62" s="178"/>
      <c r="E62" s="178"/>
      <c r="F62" s="178"/>
      <c r="G62" s="178"/>
      <c r="H62" s="178"/>
    </row>
    <row r="63" spans="1:8" s="67" customFormat="1" ht="16.5" x14ac:dyDescent="0.3">
      <c r="A63" s="178"/>
      <c r="B63" s="178"/>
      <c r="C63" s="162"/>
      <c r="D63" s="178"/>
      <c r="E63" s="178"/>
      <c r="F63" s="178"/>
      <c r="G63" s="178"/>
      <c r="H63" s="178"/>
    </row>
    <row r="64" spans="1:8" s="67" customFormat="1" ht="16.5" x14ac:dyDescent="0.3">
      <c r="A64" s="178"/>
      <c r="B64" s="178"/>
      <c r="C64" s="162"/>
      <c r="D64" s="178"/>
      <c r="E64" s="178"/>
      <c r="F64" s="178"/>
      <c r="G64" s="178"/>
      <c r="H64" s="178"/>
    </row>
    <row r="65" spans="1:9" s="67" customFormat="1" ht="16.5" x14ac:dyDescent="0.3">
      <c r="A65" s="178"/>
      <c r="B65" s="178"/>
      <c r="C65" s="162"/>
      <c r="D65" s="178"/>
      <c r="E65" s="178"/>
      <c r="F65" s="178"/>
      <c r="G65" s="178"/>
      <c r="H65" s="178"/>
    </row>
    <row r="66" spans="1:9" s="67" customFormat="1" ht="16.5" x14ac:dyDescent="0.3">
      <c r="A66" s="178"/>
      <c r="B66" s="178"/>
      <c r="C66" s="162"/>
      <c r="D66" s="178"/>
      <c r="E66" s="178"/>
      <c r="F66" s="178"/>
      <c r="G66" s="178"/>
      <c r="H66" s="178"/>
    </row>
    <row r="67" spans="1:9" s="67" customFormat="1" ht="16.5" x14ac:dyDescent="0.3">
      <c r="A67" s="178"/>
      <c r="B67" s="178"/>
      <c r="C67" s="162"/>
      <c r="D67" s="178"/>
      <c r="E67" s="178"/>
      <c r="F67" s="178"/>
      <c r="G67" s="178"/>
      <c r="H67" s="178"/>
    </row>
    <row r="68" spans="1:9" s="67" customFormat="1" ht="16.5" x14ac:dyDescent="0.3">
      <c r="A68" s="178"/>
      <c r="B68" s="178"/>
      <c r="C68" s="162"/>
      <c r="D68" s="178"/>
      <c r="E68" s="178"/>
      <c r="F68" s="178"/>
      <c r="G68" s="178"/>
      <c r="H68" s="178"/>
    </row>
    <row r="69" spans="1:9" s="67" customFormat="1" ht="16.5" x14ac:dyDescent="0.3">
      <c r="A69" s="178"/>
      <c r="B69" s="178"/>
      <c r="C69" s="162"/>
      <c r="D69" s="178"/>
      <c r="E69" s="178"/>
      <c r="F69" s="178"/>
      <c r="G69" s="178"/>
      <c r="H69" s="178"/>
    </row>
    <row r="70" spans="1:9" s="67" customFormat="1" ht="16.5" x14ac:dyDescent="0.3">
      <c r="A70" s="178"/>
      <c r="B70" s="178"/>
      <c r="C70" s="162"/>
      <c r="D70" s="178"/>
      <c r="E70" s="178"/>
      <c r="F70" s="178"/>
      <c r="G70" s="178"/>
      <c r="H70" s="178"/>
    </row>
    <row r="71" spans="1:9" s="67" customFormat="1" ht="16.5" x14ac:dyDescent="0.3">
      <c r="A71" s="178"/>
      <c r="B71" s="178"/>
      <c r="C71" s="162"/>
      <c r="D71" s="178"/>
      <c r="E71" s="178"/>
      <c r="F71" s="178"/>
      <c r="G71" s="178"/>
      <c r="H71" s="178"/>
    </row>
    <row r="72" spans="1:9" s="67" customFormat="1" ht="16.5" x14ac:dyDescent="0.3">
      <c r="A72" s="178"/>
      <c r="B72" s="178"/>
      <c r="C72" s="162"/>
      <c r="D72" s="178"/>
      <c r="E72" s="178"/>
      <c r="F72" s="178"/>
      <c r="G72" s="178"/>
      <c r="H72" s="178"/>
    </row>
    <row r="73" spans="1:9" s="67" customFormat="1" ht="16.5" x14ac:dyDescent="0.3">
      <c r="A73" s="178"/>
      <c r="B73" s="178"/>
      <c r="C73" s="162"/>
      <c r="D73" s="178"/>
      <c r="E73" s="178"/>
      <c r="F73" s="178"/>
      <c r="G73" s="178"/>
      <c r="H73" s="178"/>
    </row>
    <row r="74" spans="1:9" s="67" customFormat="1" ht="16.5" x14ac:dyDescent="0.3">
      <c r="A74" s="178"/>
      <c r="B74" s="178"/>
      <c r="C74" s="162"/>
      <c r="D74" s="178"/>
      <c r="E74" s="178"/>
      <c r="F74" s="178"/>
      <c r="G74" s="178"/>
      <c r="H74" s="178"/>
    </row>
    <row r="75" spans="1:9" s="67" customFormat="1" ht="16.5" x14ac:dyDescent="0.3">
      <c r="A75" s="178"/>
      <c r="B75" s="178"/>
      <c r="C75" s="162"/>
      <c r="D75" s="178"/>
      <c r="E75" s="178"/>
      <c r="F75" s="178"/>
      <c r="G75" s="178"/>
      <c r="H75" s="178"/>
    </row>
    <row r="76" spans="1:9" s="67" customFormat="1" ht="16.5" x14ac:dyDescent="0.3">
      <c r="A76" s="178"/>
      <c r="B76" s="178"/>
      <c r="C76" s="162"/>
      <c r="D76" s="178"/>
      <c r="E76" s="178"/>
      <c r="F76" s="178"/>
      <c r="G76" s="178"/>
      <c r="H76" s="178"/>
    </row>
    <row r="77" spans="1:9" s="67" customFormat="1" ht="16.5" x14ac:dyDescent="0.3">
      <c r="A77" s="178"/>
      <c r="B77" s="178"/>
      <c r="C77" s="162"/>
      <c r="D77" s="178"/>
      <c r="E77" s="178"/>
      <c r="F77" s="178"/>
      <c r="G77" s="178"/>
      <c r="H77" s="178"/>
      <c r="I77" s="67">
        <f>SUM(F70:F77)</f>
        <v>0</v>
      </c>
    </row>
    <row r="78" spans="1:9" s="67" customFormat="1" ht="16.5" x14ac:dyDescent="0.3">
      <c r="A78" s="178"/>
      <c r="B78" s="178"/>
      <c r="C78" s="162"/>
      <c r="D78" s="178"/>
      <c r="E78" s="178"/>
      <c r="F78" s="178"/>
      <c r="G78" s="178"/>
      <c r="H78" s="178">
        <f>SUM(H70:H77)</f>
        <v>0</v>
      </c>
    </row>
    <row r="79" spans="1:9" s="67" customFormat="1" ht="16.5" x14ac:dyDescent="0.3">
      <c r="A79" s="178"/>
      <c r="B79" s="178"/>
      <c r="C79" s="162"/>
      <c r="D79" s="178"/>
      <c r="E79" s="178"/>
      <c r="F79" s="178"/>
      <c r="G79" s="178"/>
      <c r="H79" s="178"/>
    </row>
    <row r="80" spans="1:9" s="67" customFormat="1" ht="16.5" x14ac:dyDescent="0.3">
      <c r="A80" s="178"/>
      <c r="B80" s="178"/>
      <c r="C80" s="162"/>
      <c r="D80" s="178"/>
      <c r="E80" s="178"/>
      <c r="F80" s="178"/>
      <c r="G80" s="178"/>
      <c r="H80" s="178"/>
    </row>
  </sheetData>
  <mergeCells count="4">
    <mergeCell ref="A1:G1"/>
    <mergeCell ref="A11:H11"/>
    <mergeCell ref="A16:H16"/>
    <mergeCell ref="A21:H21"/>
  </mergeCells>
  <phoneticPr fontId="4" type="noConversion"/>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1"/>
  <sheetViews>
    <sheetView view="pageBreakPreview" zoomScaleNormal="100" zoomScaleSheetLayoutView="100" workbookViewId="0">
      <pane xSplit="2" topLeftCell="C1" activePane="topRight" state="frozen"/>
      <selection activeCell="E38" sqref="E38"/>
      <selection pane="topRight" activeCell="C19" sqref="C19"/>
    </sheetView>
  </sheetViews>
  <sheetFormatPr defaultRowHeight="11.25" x14ac:dyDescent="0.2"/>
  <cols>
    <col min="1" max="1" width="6.42578125" style="350" bestFit="1" customWidth="1"/>
    <col min="2" max="2" width="21.140625" style="351" customWidth="1"/>
    <col min="3" max="3" width="5" style="351" bestFit="1" customWidth="1"/>
    <col min="4" max="4" width="7" style="350" bestFit="1" customWidth="1"/>
    <col min="5" max="75" width="6.140625" style="350" customWidth="1"/>
    <col min="76" max="76" width="6.7109375" style="350" customWidth="1"/>
    <col min="77" max="97" width="6.140625" style="350" customWidth="1"/>
    <col min="98" max="100" width="6.140625" style="434" customWidth="1"/>
    <col min="101" max="105" width="6.140625" style="350" customWidth="1"/>
    <col min="106" max="16384" width="9.140625" style="350"/>
  </cols>
  <sheetData>
    <row r="1" spans="1:105" s="332" customFormat="1" ht="12.75" x14ac:dyDescent="0.25">
      <c r="A1" s="332" t="s">
        <v>434</v>
      </c>
      <c r="G1" s="333"/>
      <c r="CT1" s="430"/>
      <c r="CU1" s="430"/>
      <c r="CV1" s="430"/>
    </row>
    <row r="2" spans="1:105" s="332" customFormat="1" ht="12.75" x14ac:dyDescent="0.25">
      <c r="A2" s="332" t="s">
        <v>433</v>
      </c>
      <c r="G2" s="333"/>
      <c r="CT2" s="430"/>
      <c r="CU2" s="430"/>
      <c r="CV2" s="430"/>
    </row>
    <row r="3" spans="1:105" s="336" customFormat="1" ht="12.75" x14ac:dyDescent="0.25">
      <c r="A3" s="334" t="s">
        <v>327</v>
      </c>
      <c r="B3" s="335" t="s">
        <v>190</v>
      </c>
      <c r="E3" s="337"/>
      <c r="F3" s="338"/>
      <c r="G3" s="337"/>
      <c r="I3" s="335"/>
      <c r="CT3" s="431"/>
      <c r="CU3" s="431"/>
      <c r="CV3" s="431"/>
    </row>
    <row r="4" spans="1:105" s="343" customFormat="1" ht="12.75" x14ac:dyDescent="0.25">
      <c r="A4" s="339" t="s">
        <v>181</v>
      </c>
      <c r="B4" s="339" t="s">
        <v>429</v>
      </c>
      <c r="C4" s="339"/>
      <c r="D4" s="340"/>
      <c r="E4" s="341"/>
      <c r="F4" s="342"/>
      <c r="G4" s="341"/>
      <c r="CT4" s="432"/>
      <c r="CU4" s="432"/>
      <c r="CV4" s="432"/>
    </row>
    <row r="5" spans="1:105" s="348" customFormat="1" ht="12.75" x14ac:dyDescent="0.25">
      <c r="A5" s="344" t="s">
        <v>180</v>
      </c>
      <c r="B5" s="344" t="s">
        <v>191</v>
      </c>
      <c r="C5" s="344"/>
      <c r="D5" s="345"/>
      <c r="E5" s="346"/>
      <c r="F5" s="347"/>
      <c r="G5" s="346"/>
      <c r="CT5" s="433"/>
      <c r="CU5" s="433"/>
      <c r="CV5" s="433"/>
    </row>
    <row r="6" spans="1:105" s="348" customFormat="1" ht="12.75" x14ac:dyDescent="0.25">
      <c r="A6" s="344" t="s">
        <v>392</v>
      </c>
      <c r="B6" s="344"/>
      <c r="C6" s="344"/>
      <c r="D6" s="345"/>
      <c r="E6" s="346"/>
      <c r="F6" s="347"/>
      <c r="G6" s="346"/>
      <c r="CT6" s="433"/>
      <c r="CU6" s="433"/>
      <c r="CV6" s="433"/>
    </row>
    <row r="7" spans="1:105" s="348" customFormat="1" ht="12.75" x14ac:dyDescent="0.25">
      <c r="A7" s="344" t="s">
        <v>221</v>
      </c>
      <c r="B7" s="349" t="s">
        <v>222</v>
      </c>
      <c r="C7" s="344"/>
      <c r="D7" s="345"/>
      <c r="E7" s="346"/>
      <c r="F7" s="347"/>
      <c r="G7" s="346"/>
      <c r="CT7" s="433"/>
      <c r="CU7" s="433"/>
      <c r="CV7" s="433"/>
    </row>
    <row r="8" spans="1:105" x14ac:dyDescent="0.2">
      <c r="D8" s="350" t="s">
        <v>6</v>
      </c>
    </row>
    <row r="9" spans="1:105" s="369" customFormat="1" x14ac:dyDescent="0.2">
      <c r="A9" s="370"/>
      <c r="B9" s="384" t="s">
        <v>345</v>
      </c>
      <c r="C9" s="371"/>
      <c r="D9" s="374"/>
      <c r="E9" s="370">
        <v>1</v>
      </c>
      <c r="F9" s="370">
        <v>2</v>
      </c>
      <c r="G9" s="370">
        <v>3</v>
      </c>
      <c r="H9" s="370">
        <v>4</v>
      </c>
      <c r="I9" s="370">
        <v>5</v>
      </c>
      <c r="J9" s="370">
        <v>6</v>
      </c>
      <c r="K9" s="370">
        <v>7</v>
      </c>
      <c r="L9" s="370">
        <v>8</v>
      </c>
      <c r="M9" s="370">
        <v>9</v>
      </c>
      <c r="N9" s="370">
        <v>10</v>
      </c>
      <c r="O9" s="370">
        <v>11</v>
      </c>
      <c r="P9" s="370">
        <v>12</v>
      </c>
      <c r="Q9" s="370">
        <v>13</v>
      </c>
      <c r="R9" s="370">
        <v>14</v>
      </c>
      <c r="S9" s="370">
        <v>15</v>
      </c>
      <c r="T9" s="370">
        <v>16</v>
      </c>
      <c r="U9" s="370">
        <v>17</v>
      </c>
      <c r="V9" s="370">
        <v>18</v>
      </c>
      <c r="W9" s="370">
        <v>19</v>
      </c>
      <c r="X9" s="370">
        <v>20</v>
      </c>
      <c r="Y9" s="370">
        <v>21</v>
      </c>
      <c r="Z9" s="370">
        <v>22</v>
      </c>
      <c r="AA9" s="370">
        <v>23</v>
      </c>
      <c r="AB9" s="370">
        <v>24</v>
      </c>
      <c r="AC9" s="370">
        <v>25</v>
      </c>
      <c r="AD9" s="370">
        <v>26</v>
      </c>
      <c r="AE9" s="370">
        <v>27</v>
      </c>
      <c r="AF9" s="370">
        <v>28</v>
      </c>
      <c r="AG9" s="370">
        <v>29</v>
      </c>
      <c r="AH9" s="370">
        <v>30</v>
      </c>
      <c r="AI9" s="370">
        <v>31</v>
      </c>
      <c r="AJ9" s="370">
        <v>32</v>
      </c>
      <c r="AK9" s="370">
        <v>33</v>
      </c>
      <c r="AL9" s="370">
        <v>34</v>
      </c>
      <c r="AM9" s="370">
        <v>35</v>
      </c>
      <c r="AN9" s="370">
        <v>36</v>
      </c>
      <c r="AO9" s="370">
        <v>37</v>
      </c>
      <c r="AP9" s="370">
        <v>38</v>
      </c>
      <c r="AQ9" s="370">
        <v>39</v>
      </c>
      <c r="AR9" s="370">
        <v>40</v>
      </c>
      <c r="AS9" s="370">
        <v>41</v>
      </c>
      <c r="AT9" s="370">
        <v>42</v>
      </c>
      <c r="AU9" s="370">
        <v>43</v>
      </c>
      <c r="AV9" s="370">
        <v>44</v>
      </c>
      <c r="AW9" s="370">
        <v>45</v>
      </c>
      <c r="AX9" s="370">
        <v>46</v>
      </c>
      <c r="AY9" s="370">
        <v>47</v>
      </c>
      <c r="AZ9" s="370">
        <v>48</v>
      </c>
      <c r="BA9" s="370">
        <v>49</v>
      </c>
      <c r="BB9" s="370">
        <v>50</v>
      </c>
      <c r="BC9" s="370">
        <v>51</v>
      </c>
      <c r="BD9" s="370">
        <v>52</v>
      </c>
      <c r="BE9" s="370">
        <v>53</v>
      </c>
      <c r="BF9" s="370">
        <v>54</v>
      </c>
      <c r="BG9" s="370">
        <v>55</v>
      </c>
      <c r="BH9" s="370">
        <v>56</v>
      </c>
      <c r="BI9" s="370">
        <v>57</v>
      </c>
      <c r="BJ9" s="370">
        <v>58</v>
      </c>
      <c r="BK9" s="370">
        <v>59</v>
      </c>
      <c r="BL9" s="370">
        <v>60</v>
      </c>
      <c r="BM9" s="370">
        <v>61</v>
      </c>
      <c r="BN9" s="370">
        <v>62</v>
      </c>
      <c r="BO9" s="370">
        <v>63</v>
      </c>
      <c r="BP9" s="370">
        <v>64</v>
      </c>
      <c r="BQ9" s="370">
        <v>65</v>
      </c>
      <c r="BR9" s="370">
        <v>66</v>
      </c>
      <c r="BS9" s="370">
        <v>67</v>
      </c>
      <c r="BT9" s="370">
        <v>68</v>
      </c>
      <c r="BU9" s="370">
        <v>69</v>
      </c>
      <c r="BV9" s="370">
        <v>70</v>
      </c>
      <c r="BW9" s="370">
        <v>71</v>
      </c>
      <c r="BX9" s="370">
        <v>72</v>
      </c>
      <c r="BY9" s="370">
        <v>73</v>
      </c>
      <c r="BZ9" s="370">
        <v>74</v>
      </c>
      <c r="CA9" s="370">
        <v>75</v>
      </c>
      <c r="CB9" s="370">
        <v>76</v>
      </c>
      <c r="CC9" s="370">
        <v>77</v>
      </c>
      <c r="CD9" s="370">
        <v>78</v>
      </c>
      <c r="CE9" s="370">
        <v>79</v>
      </c>
      <c r="CF9" s="370">
        <v>80</v>
      </c>
      <c r="CG9" s="370">
        <v>81</v>
      </c>
      <c r="CH9" s="370">
        <v>82</v>
      </c>
      <c r="CI9" s="370">
        <v>83</v>
      </c>
      <c r="CJ9" s="370">
        <v>84</v>
      </c>
      <c r="CK9" s="370">
        <v>85</v>
      </c>
      <c r="CL9" s="370">
        <v>86</v>
      </c>
      <c r="CM9" s="370" t="s">
        <v>271</v>
      </c>
      <c r="CN9" s="370" t="s">
        <v>272</v>
      </c>
      <c r="CO9" s="370" t="s">
        <v>273</v>
      </c>
      <c r="CP9" s="370" t="s">
        <v>274</v>
      </c>
      <c r="CQ9" s="370" t="s">
        <v>275</v>
      </c>
      <c r="CR9" s="370">
        <v>88</v>
      </c>
      <c r="CS9" s="370">
        <v>89</v>
      </c>
      <c r="CT9" s="370" t="s">
        <v>120</v>
      </c>
      <c r="CU9" s="370" t="s">
        <v>121</v>
      </c>
      <c r="CV9" s="370" t="s">
        <v>122</v>
      </c>
      <c r="CW9" s="370">
        <v>91</v>
      </c>
      <c r="CX9" s="370">
        <v>92</v>
      </c>
      <c r="CY9" s="370">
        <v>93</v>
      </c>
      <c r="CZ9" s="370">
        <v>94</v>
      </c>
      <c r="DA9" s="370">
        <v>95</v>
      </c>
    </row>
    <row r="10" spans="1:105" s="352" customFormat="1" x14ac:dyDescent="0.2">
      <c r="A10" s="375"/>
      <c r="B10" s="385" t="s">
        <v>337</v>
      </c>
      <c r="C10" s="376"/>
      <c r="D10" s="377"/>
      <c r="E10" s="375">
        <v>1</v>
      </c>
      <c r="F10" s="375">
        <v>1</v>
      </c>
      <c r="G10" s="375">
        <v>1</v>
      </c>
      <c r="H10" s="375">
        <v>1</v>
      </c>
      <c r="I10" s="375">
        <v>1</v>
      </c>
      <c r="J10" s="375">
        <v>1</v>
      </c>
      <c r="K10" s="375">
        <v>1</v>
      </c>
      <c r="L10" s="375">
        <v>1</v>
      </c>
      <c r="M10" s="375">
        <v>1</v>
      </c>
      <c r="N10" s="375">
        <v>1</v>
      </c>
      <c r="O10" s="375">
        <v>1</v>
      </c>
      <c r="P10" s="375">
        <v>1</v>
      </c>
      <c r="Q10" s="375">
        <v>1</v>
      </c>
      <c r="R10" s="375">
        <v>1</v>
      </c>
      <c r="S10" s="375">
        <v>1</v>
      </c>
      <c r="T10" s="375">
        <v>1</v>
      </c>
      <c r="U10" s="375">
        <v>1</v>
      </c>
      <c r="V10" s="375">
        <v>1</v>
      </c>
      <c r="W10" s="375">
        <v>1</v>
      </c>
      <c r="X10" s="375">
        <v>1</v>
      </c>
      <c r="Y10" s="375">
        <v>1</v>
      </c>
      <c r="Z10" s="375">
        <v>1</v>
      </c>
      <c r="AA10" s="375">
        <v>1</v>
      </c>
      <c r="AB10" s="375">
        <v>1</v>
      </c>
      <c r="AC10" s="375">
        <v>1</v>
      </c>
      <c r="AD10" s="375">
        <v>1</v>
      </c>
      <c r="AE10" s="375">
        <v>1</v>
      </c>
      <c r="AF10" s="375">
        <v>1</v>
      </c>
      <c r="AG10" s="375">
        <v>1</v>
      </c>
      <c r="AH10" s="375">
        <v>1</v>
      </c>
      <c r="AI10" s="375">
        <v>1</v>
      </c>
      <c r="AJ10" s="375">
        <v>1</v>
      </c>
      <c r="AK10" s="375">
        <v>1</v>
      </c>
      <c r="AL10" s="375">
        <v>1</v>
      </c>
      <c r="AM10" s="375">
        <v>1</v>
      </c>
      <c r="AN10" s="375">
        <v>1</v>
      </c>
      <c r="AO10" s="375">
        <v>1</v>
      </c>
      <c r="AP10" s="375">
        <v>1</v>
      </c>
      <c r="AQ10" s="375">
        <v>1</v>
      </c>
      <c r="AR10" s="375">
        <v>1</v>
      </c>
      <c r="AS10" s="375">
        <v>1</v>
      </c>
      <c r="AT10" s="375">
        <v>1</v>
      </c>
      <c r="AU10" s="375">
        <v>1</v>
      </c>
      <c r="AV10" s="375">
        <v>1</v>
      </c>
      <c r="AW10" s="375">
        <v>1</v>
      </c>
      <c r="AX10" s="375">
        <v>1</v>
      </c>
      <c r="AY10" s="375">
        <v>1</v>
      </c>
      <c r="AZ10" s="375">
        <v>1</v>
      </c>
      <c r="BA10" s="375">
        <v>1</v>
      </c>
      <c r="BB10" s="375">
        <v>1</v>
      </c>
      <c r="BC10" s="375">
        <v>1</v>
      </c>
      <c r="BD10" s="375">
        <v>1</v>
      </c>
      <c r="BE10" s="375">
        <v>1</v>
      </c>
      <c r="BF10" s="375">
        <v>1</v>
      </c>
      <c r="BG10" s="375">
        <v>1</v>
      </c>
      <c r="BH10" s="375">
        <v>1</v>
      </c>
      <c r="BI10" s="375">
        <v>1</v>
      </c>
      <c r="BJ10" s="375">
        <v>1</v>
      </c>
      <c r="BK10" s="375">
        <v>1</v>
      </c>
      <c r="BL10" s="375">
        <v>1</v>
      </c>
      <c r="BM10" s="375">
        <v>1</v>
      </c>
      <c r="BN10" s="375">
        <v>1</v>
      </c>
      <c r="BO10" s="375">
        <v>1</v>
      </c>
      <c r="BP10" s="375">
        <v>1</v>
      </c>
      <c r="BQ10" s="375">
        <v>1</v>
      </c>
      <c r="BR10" s="375">
        <v>1</v>
      </c>
      <c r="BS10" s="375">
        <v>1</v>
      </c>
      <c r="BT10" s="375">
        <v>1</v>
      </c>
      <c r="BU10" s="375">
        <v>1</v>
      </c>
      <c r="BV10" s="375">
        <v>1</v>
      </c>
      <c r="BW10" s="375">
        <v>1</v>
      </c>
      <c r="BX10" s="375">
        <v>1</v>
      </c>
      <c r="BY10" s="375">
        <v>1</v>
      </c>
      <c r="BZ10" s="375">
        <v>1</v>
      </c>
      <c r="CA10" s="375">
        <v>1</v>
      </c>
      <c r="CB10" s="375">
        <v>1</v>
      </c>
      <c r="CC10" s="375">
        <v>1</v>
      </c>
      <c r="CD10" s="375">
        <v>1</v>
      </c>
      <c r="CE10" s="375">
        <v>1</v>
      </c>
      <c r="CF10" s="375">
        <v>1</v>
      </c>
      <c r="CG10" s="375">
        <v>1</v>
      </c>
      <c r="CH10" s="375">
        <v>1</v>
      </c>
      <c r="CI10" s="375">
        <v>1</v>
      </c>
      <c r="CJ10" s="375">
        <v>1</v>
      </c>
      <c r="CK10" s="375">
        <v>1</v>
      </c>
      <c r="CL10" s="375">
        <v>1</v>
      </c>
      <c r="CM10" s="375">
        <v>1</v>
      </c>
      <c r="CN10" s="375">
        <v>1</v>
      </c>
      <c r="CO10" s="375">
        <v>1</v>
      </c>
      <c r="CP10" s="375">
        <v>1</v>
      </c>
      <c r="CQ10" s="375">
        <v>1</v>
      </c>
      <c r="CR10" s="375">
        <v>5</v>
      </c>
      <c r="CS10" s="375">
        <v>5</v>
      </c>
      <c r="CT10" s="435">
        <v>6</v>
      </c>
      <c r="CU10" s="435">
        <v>6</v>
      </c>
      <c r="CV10" s="435">
        <v>6</v>
      </c>
      <c r="CW10" s="375">
        <v>6</v>
      </c>
      <c r="CX10" s="375">
        <v>6</v>
      </c>
      <c r="CY10" s="375">
        <v>2</v>
      </c>
      <c r="CZ10" s="375">
        <v>2</v>
      </c>
      <c r="DA10" s="375">
        <v>2</v>
      </c>
    </row>
    <row r="11" spans="1:105" s="353" customFormat="1" x14ac:dyDescent="0.2">
      <c r="A11" s="355"/>
      <c r="B11" s="386" t="s">
        <v>346</v>
      </c>
      <c r="C11" s="354"/>
      <c r="D11" s="378">
        <f>SUM(E11:DA11)</f>
        <v>2674.7</v>
      </c>
      <c r="E11" s="355">
        <v>59</v>
      </c>
      <c r="F11" s="355">
        <v>176</v>
      </c>
      <c r="G11" s="355">
        <v>6</v>
      </c>
      <c r="H11" s="355">
        <v>6</v>
      </c>
      <c r="I11" s="355">
        <v>13</v>
      </c>
      <c r="J11" s="355">
        <v>19</v>
      </c>
      <c r="K11" s="355">
        <v>107</v>
      </c>
      <c r="L11" s="355">
        <v>13</v>
      </c>
      <c r="M11" s="355">
        <v>0</v>
      </c>
      <c r="N11" s="355">
        <v>0</v>
      </c>
      <c r="O11" s="355">
        <v>16</v>
      </c>
      <c r="P11" s="355">
        <v>30</v>
      </c>
      <c r="Q11" s="355">
        <v>76</v>
      </c>
      <c r="R11" s="355">
        <v>15</v>
      </c>
      <c r="S11" s="355">
        <v>16</v>
      </c>
      <c r="T11" s="355">
        <v>47</v>
      </c>
      <c r="U11" s="355">
        <v>12</v>
      </c>
      <c r="V11" s="355">
        <v>41</v>
      </c>
      <c r="W11" s="355">
        <v>17</v>
      </c>
      <c r="X11" s="355">
        <v>22</v>
      </c>
      <c r="Y11" s="355">
        <v>31</v>
      </c>
      <c r="Z11" s="355">
        <v>13</v>
      </c>
      <c r="AA11" s="355">
        <v>10</v>
      </c>
      <c r="AB11" s="355">
        <v>120</v>
      </c>
      <c r="AC11" s="355">
        <v>55</v>
      </c>
      <c r="AD11" s="355">
        <v>0</v>
      </c>
      <c r="AE11" s="355">
        <v>0</v>
      </c>
      <c r="AF11" s="355">
        <v>47</v>
      </c>
      <c r="AG11" s="355">
        <v>0</v>
      </c>
      <c r="AH11" s="355">
        <v>0</v>
      </c>
      <c r="AI11" s="355">
        <v>0</v>
      </c>
      <c r="AJ11" s="355">
        <v>0</v>
      </c>
      <c r="AK11" s="355">
        <v>14</v>
      </c>
      <c r="AL11" s="355">
        <v>23</v>
      </c>
      <c r="AM11" s="355">
        <v>37</v>
      </c>
      <c r="AN11" s="355">
        <v>37</v>
      </c>
      <c r="AO11" s="355">
        <v>20</v>
      </c>
      <c r="AP11" s="355">
        <v>20</v>
      </c>
      <c r="AQ11" s="355">
        <v>13</v>
      </c>
      <c r="AR11" s="355">
        <v>21</v>
      </c>
      <c r="AS11" s="355">
        <v>14</v>
      </c>
      <c r="AT11" s="355">
        <v>2</v>
      </c>
      <c r="AU11" s="355">
        <v>1.5</v>
      </c>
      <c r="AV11" s="355">
        <v>13</v>
      </c>
      <c r="AW11" s="355">
        <v>9</v>
      </c>
      <c r="AX11" s="355">
        <v>8</v>
      </c>
      <c r="AY11" s="355">
        <v>63</v>
      </c>
      <c r="AZ11" s="355">
        <v>16</v>
      </c>
      <c r="BA11" s="355">
        <v>17</v>
      </c>
      <c r="BB11" s="355">
        <v>7</v>
      </c>
      <c r="BC11" s="355">
        <v>18</v>
      </c>
      <c r="BD11" s="355">
        <v>39</v>
      </c>
      <c r="BE11" s="355">
        <v>27</v>
      </c>
      <c r="BF11" s="355">
        <v>37</v>
      </c>
      <c r="BG11" s="355">
        <v>28</v>
      </c>
      <c r="BH11" s="355">
        <v>22</v>
      </c>
      <c r="BI11" s="355">
        <v>11</v>
      </c>
      <c r="BJ11" s="355">
        <v>6</v>
      </c>
      <c r="BK11" s="355">
        <v>4</v>
      </c>
      <c r="BL11" s="355">
        <v>3.5</v>
      </c>
      <c r="BM11" s="355">
        <v>5.5</v>
      </c>
      <c r="BN11" s="355">
        <v>3.5</v>
      </c>
      <c r="BO11" s="355">
        <v>3.5</v>
      </c>
      <c r="BP11" s="355">
        <v>3</v>
      </c>
      <c r="BQ11" s="355">
        <v>5</v>
      </c>
      <c r="BR11" s="355">
        <v>6</v>
      </c>
      <c r="BS11" s="355">
        <v>7</v>
      </c>
      <c r="BT11" s="355">
        <v>6</v>
      </c>
      <c r="BU11" s="355">
        <v>7</v>
      </c>
      <c r="BV11" s="355">
        <v>12</v>
      </c>
      <c r="BW11" s="355">
        <v>6</v>
      </c>
      <c r="BX11" s="355">
        <v>1.2</v>
      </c>
      <c r="BY11" s="355">
        <v>6</v>
      </c>
      <c r="BZ11" s="355">
        <v>2</v>
      </c>
      <c r="CA11" s="355">
        <v>2</v>
      </c>
      <c r="CB11" s="355">
        <v>26</v>
      </c>
      <c r="CC11" s="355">
        <v>10</v>
      </c>
      <c r="CD11" s="355">
        <v>79</v>
      </c>
      <c r="CE11" s="355">
        <v>35</v>
      </c>
      <c r="CF11" s="355">
        <v>82</v>
      </c>
      <c r="CG11" s="355">
        <v>35</v>
      </c>
      <c r="CH11" s="355">
        <v>42</v>
      </c>
      <c r="CI11" s="355">
        <v>116</v>
      </c>
      <c r="CJ11" s="355">
        <v>50</v>
      </c>
      <c r="CK11" s="355">
        <v>164</v>
      </c>
      <c r="CL11" s="355">
        <v>39</v>
      </c>
      <c r="CM11" s="355">
        <v>65</v>
      </c>
      <c r="CN11" s="355">
        <v>20</v>
      </c>
      <c r="CO11" s="355">
        <v>24</v>
      </c>
      <c r="CP11" s="355">
        <v>18</v>
      </c>
      <c r="CQ11" s="355">
        <v>64</v>
      </c>
      <c r="CR11" s="355">
        <v>37</v>
      </c>
      <c r="CS11" s="355">
        <v>25</v>
      </c>
      <c r="CT11" s="436">
        <v>21</v>
      </c>
      <c r="CU11" s="436">
        <v>26</v>
      </c>
      <c r="CV11" s="436">
        <v>36</v>
      </c>
      <c r="CW11" s="355">
        <v>13</v>
      </c>
      <c r="CX11" s="355">
        <v>41</v>
      </c>
      <c r="CY11" s="355">
        <v>4</v>
      </c>
      <c r="CZ11" s="355">
        <v>9</v>
      </c>
      <c r="DA11" s="355">
        <v>20</v>
      </c>
    </row>
    <row r="12" spans="1:105" s="353" customFormat="1" x14ac:dyDescent="0.2">
      <c r="A12" s="355"/>
      <c r="B12" s="386" t="s">
        <v>338</v>
      </c>
      <c r="C12" s="354"/>
      <c r="D12" s="378">
        <f>SUM(E12:DA12)</f>
        <v>2227.3000000000002</v>
      </c>
      <c r="E12" s="355">
        <v>29</v>
      </c>
      <c r="F12" s="355">
        <v>83</v>
      </c>
      <c r="G12" s="355">
        <v>3.2</v>
      </c>
      <c r="H12" s="355">
        <v>4</v>
      </c>
      <c r="I12" s="355">
        <v>3</v>
      </c>
      <c r="J12" s="355">
        <v>10.3</v>
      </c>
      <c r="K12" s="355">
        <v>60</v>
      </c>
      <c r="L12" s="355">
        <v>7.8</v>
      </c>
      <c r="M12" s="355">
        <v>1.9</v>
      </c>
      <c r="N12" s="355">
        <v>702</v>
      </c>
      <c r="O12" s="355">
        <v>10.199999999999999</v>
      </c>
      <c r="P12" s="355">
        <v>19</v>
      </c>
      <c r="Q12" s="355">
        <v>33</v>
      </c>
      <c r="R12" s="355">
        <v>5</v>
      </c>
      <c r="S12" s="355">
        <v>5</v>
      </c>
      <c r="T12" s="355">
        <v>66</v>
      </c>
      <c r="U12" s="355">
        <v>3.3</v>
      </c>
      <c r="V12" s="355">
        <v>18</v>
      </c>
      <c r="W12" s="355">
        <v>21.4</v>
      </c>
      <c r="X12" s="355">
        <v>13.3</v>
      </c>
      <c r="Y12" s="355">
        <v>22.6</v>
      </c>
      <c r="Z12" s="355">
        <v>9.4</v>
      </c>
      <c r="AA12" s="355">
        <v>7.2</v>
      </c>
      <c r="AB12" s="355">
        <v>70</v>
      </c>
      <c r="AC12" s="355">
        <v>41.3</v>
      </c>
      <c r="AD12" s="355">
        <v>9.1999999999999993</v>
      </c>
      <c r="AE12" s="355">
        <v>18.7</v>
      </c>
      <c r="AF12" s="355">
        <v>24</v>
      </c>
      <c r="AG12" s="355">
        <v>4.3</v>
      </c>
      <c r="AH12" s="355">
        <v>6.6</v>
      </c>
      <c r="AI12" s="355">
        <v>4.2</v>
      </c>
      <c r="AJ12" s="355">
        <v>8.8000000000000007</v>
      </c>
      <c r="AK12" s="355">
        <v>11</v>
      </c>
      <c r="AL12" s="355">
        <v>8</v>
      </c>
      <c r="AM12" s="355">
        <v>14.5</v>
      </c>
      <c r="AN12" s="355">
        <v>14.8</v>
      </c>
      <c r="AO12" s="355">
        <v>8.1999999999999993</v>
      </c>
      <c r="AP12" s="355">
        <v>8.6</v>
      </c>
      <c r="AQ12" s="355">
        <v>5.0999999999999996</v>
      </c>
      <c r="AR12" s="355">
        <v>18.2</v>
      </c>
      <c r="AS12" s="355">
        <v>12.7</v>
      </c>
      <c r="AT12" s="355">
        <v>1.6</v>
      </c>
      <c r="AU12" s="355">
        <v>2.2999999999999998</v>
      </c>
      <c r="AV12" s="355">
        <v>9</v>
      </c>
      <c r="AW12" s="355">
        <v>7</v>
      </c>
      <c r="AX12" s="355">
        <v>6</v>
      </c>
      <c r="AY12" s="355">
        <v>29</v>
      </c>
      <c r="AZ12" s="355">
        <v>14</v>
      </c>
      <c r="BA12" s="355">
        <v>7</v>
      </c>
      <c r="BB12" s="355">
        <v>3</v>
      </c>
      <c r="BC12" s="355">
        <v>8</v>
      </c>
      <c r="BD12" s="355">
        <v>19.399999999999999</v>
      </c>
      <c r="BE12" s="355">
        <v>14</v>
      </c>
      <c r="BF12" s="355">
        <v>20</v>
      </c>
      <c r="BG12" s="355">
        <v>21</v>
      </c>
      <c r="BH12" s="355">
        <v>14</v>
      </c>
      <c r="BI12" s="355">
        <v>9</v>
      </c>
      <c r="BJ12" s="355">
        <v>5.5</v>
      </c>
      <c r="BK12" s="355">
        <v>3</v>
      </c>
      <c r="BL12" s="355">
        <v>3</v>
      </c>
      <c r="BM12" s="355">
        <v>5</v>
      </c>
      <c r="BN12" s="355">
        <v>3</v>
      </c>
      <c r="BO12" s="355">
        <v>3</v>
      </c>
      <c r="BP12" s="355">
        <v>3</v>
      </c>
      <c r="BQ12" s="355">
        <v>5</v>
      </c>
      <c r="BR12" s="355">
        <v>4</v>
      </c>
      <c r="BS12" s="355">
        <v>6</v>
      </c>
      <c r="BT12" s="355">
        <v>5</v>
      </c>
      <c r="BU12" s="355">
        <v>7</v>
      </c>
      <c r="BV12" s="355">
        <v>11</v>
      </c>
      <c r="BW12" s="355">
        <v>6</v>
      </c>
      <c r="BX12" s="355">
        <v>1</v>
      </c>
      <c r="BY12" s="355">
        <v>1</v>
      </c>
      <c r="BZ12" s="355">
        <v>5.2</v>
      </c>
      <c r="CA12" s="355">
        <v>8.3000000000000007</v>
      </c>
      <c r="CB12" s="355">
        <v>21</v>
      </c>
      <c r="CC12" s="355">
        <v>12</v>
      </c>
      <c r="CD12" s="355">
        <v>37</v>
      </c>
      <c r="CE12" s="355">
        <v>13.2</v>
      </c>
      <c r="CF12" s="355">
        <v>19.5</v>
      </c>
      <c r="CG12" s="355">
        <v>30</v>
      </c>
      <c r="CH12" s="355">
        <v>22</v>
      </c>
      <c r="CI12" s="355">
        <v>26</v>
      </c>
      <c r="CJ12" s="355">
        <v>13.2</v>
      </c>
      <c r="CK12" s="355">
        <v>185</v>
      </c>
      <c r="CL12" s="355"/>
      <c r="CM12" s="355"/>
      <c r="CN12" s="355"/>
      <c r="CO12" s="355"/>
      <c r="CP12" s="355"/>
      <c r="CQ12" s="355"/>
      <c r="CR12" s="355">
        <v>38</v>
      </c>
      <c r="CS12" s="355">
        <v>8.3000000000000007</v>
      </c>
      <c r="CT12" s="436">
        <v>10</v>
      </c>
      <c r="CU12" s="436"/>
      <c r="CV12" s="436">
        <v>16</v>
      </c>
      <c r="CW12" s="355">
        <v>8</v>
      </c>
      <c r="CX12" s="355">
        <v>36.5</v>
      </c>
      <c r="CY12" s="355">
        <v>4</v>
      </c>
      <c r="CZ12" s="355">
        <v>8.5</v>
      </c>
      <c r="DA12" s="355">
        <v>24</v>
      </c>
    </row>
    <row r="13" spans="1:105" s="353" customFormat="1" x14ac:dyDescent="0.2">
      <c r="A13" s="355"/>
      <c r="B13" s="386" t="s">
        <v>339</v>
      </c>
      <c r="C13" s="354"/>
      <c r="D13" s="378"/>
      <c r="E13" s="355">
        <v>2.2999999999999998</v>
      </c>
      <c r="F13" s="355">
        <v>2.1</v>
      </c>
      <c r="G13" s="355">
        <v>2.1</v>
      </c>
      <c r="H13" s="355">
        <v>2</v>
      </c>
      <c r="I13" s="355">
        <v>2</v>
      </c>
      <c r="J13" s="355">
        <v>2</v>
      </c>
      <c r="K13" s="355">
        <v>1.8</v>
      </c>
      <c r="L13" s="355">
        <v>1.8</v>
      </c>
      <c r="M13" s="355">
        <v>1.9</v>
      </c>
      <c r="N13" s="355">
        <v>6.4</v>
      </c>
      <c r="O13" s="355">
        <v>1.6</v>
      </c>
      <c r="P13" s="355">
        <v>1.4</v>
      </c>
      <c r="Q13" s="355">
        <v>2</v>
      </c>
      <c r="R13" s="355">
        <v>4.5</v>
      </c>
      <c r="S13" s="355">
        <v>2.6</v>
      </c>
      <c r="T13" s="355">
        <v>0.2</v>
      </c>
      <c r="U13" s="355">
        <v>4.5999999999999996</v>
      </c>
      <c r="V13" s="355">
        <v>1.9</v>
      </c>
      <c r="W13" s="355">
        <v>0.8</v>
      </c>
      <c r="X13" s="355">
        <v>1.9</v>
      </c>
      <c r="Y13" s="355">
        <v>1.4</v>
      </c>
      <c r="Z13" s="355">
        <v>1.4</v>
      </c>
      <c r="AA13" s="355">
        <v>1.4</v>
      </c>
      <c r="AB13" s="355">
        <v>1.3</v>
      </c>
      <c r="AC13" s="355">
        <v>3.5</v>
      </c>
      <c r="AD13" s="355">
        <v>5</v>
      </c>
      <c r="AE13" s="355">
        <v>9.6999999999999993</v>
      </c>
      <c r="AF13" s="355">
        <v>9.3000000000000007</v>
      </c>
      <c r="AG13" s="355">
        <v>4.7</v>
      </c>
      <c r="AH13" s="355">
        <v>6.4</v>
      </c>
      <c r="AI13" s="355">
        <v>6.4</v>
      </c>
      <c r="AJ13" s="355">
        <v>9</v>
      </c>
      <c r="AK13" s="355">
        <v>5.6</v>
      </c>
      <c r="AL13" s="355">
        <v>10</v>
      </c>
      <c r="AM13" s="355">
        <v>9.3000000000000007</v>
      </c>
      <c r="AN13" s="355">
        <v>6.6</v>
      </c>
      <c r="AO13" s="355">
        <v>6.5</v>
      </c>
      <c r="AP13" s="355">
        <v>3.1</v>
      </c>
      <c r="AQ13" s="355">
        <v>3.6</v>
      </c>
      <c r="AR13" s="355">
        <v>1.6</v>
      </c>
      <c r="AS13" s="355">
        <v>1</v>
      </c>
      <c r="AT13" s="355">
        <v>1.1000000000000001</v>
      </c>
      <c r="AU13" s="355">
        <v>1</v>
      </c>
      <c r="AV13" s="355">
        <v>1.3</v>
      </c>
      <c r="AW13" s="355">
        <v>1</v>
      </c>
      <c r="AX13" s="355">
        <v>1.5</v>
      </c>
      <c r="AY13" s="355">
        <v>2.6</v>
      </c>
      <c r="AZ13" s="355">
        <v>2</v>
      </c>
      <c r="BA13" s="355">
        <v>1.8</v>
      </c>
      <c r="BB13" s="355">
        <v>1.8</v>
      </c>
      <c r="BC13" s="355">
        <v>2</v>
      </c>
      <c r="BD13" s="355">
        <v>2</v>
      </c>
      <c r="BE13" s="355">
        <v>2</v>
      </c>
      <c r="BF13" s="355">
        <v>1.9</v>
      </c>
      <c r="BG13" s="355">
        <v>2</v>
      </c>
      <c r="BH13" s="355">
        <v>1.7</v>
      </c>
      <c r="BI13" s="355">
        <v>1.5</v>
      </c>
      <c r="BJ13" s="355">
        <v>1.5</v>
      </c>
      <c r="BK13" s="355">
        <v>1.1000000000000001</v>
      </c>
      <c r="BL13" s="355">
        <v>1.1000000000000001</v>
      </c>
      <c r="BM13" s="355">
        <v>1.1000000000000001</v>
      </c>
      <c r="BN13" s="355">
        <v>1.1000000000000001</v>
      </c>
      <c r="BO13" s="355">
        <v>1.1000000000000001</v>
      </c>
      <c r="BP13" s="355">
        <v>1.1000000000000001</v>
      </c>
      <c r="BQ13" s="355">
        <v>1.1000000000000001</v>
      </c>
      <c r="BR13" s="355">
        <v>1.1000000000000001</v>
      </c>
      <c r="BS13" s="355">
        <v>1.1000000000000001</v>
      </c>
      <c r="BT13" s="355">
        <v>1.1000000000000001</v>
      </c>
      <c r="BU13" s="355">
        <v>1.1000000000000001</v>
      </c>
      <c r="BV13" s="355">
        <v>1.2</v>
      </c>
      <c r="BW13" s="355">
        <v>1.4</v>
      </c>
      <c r="BX13" s="355">
        <v>1.2</v>
      </c>
      <c r="BY13" s="355">
        <v>1.3</v>
      </c>
      <c r="BZ13" s="355">
        <v>1.1000000000000001</v>
      </c>
      <c r="CA13" s="355">
        <v>1.2</v>
      </c>
      <c r="CB13" s="355">
        <v>1.3</v>
      </c>
      <c r="CC13" s="355">
        <v>1.4</v>
      </c>
      <c r="CD13" s="355">
        <v>2.2999999999999998</v>
      </c>
      <c r="CE13" s="355">
        <v>3.3</v>
      </c>
      <c r="CF13" s="355">
        <v>1.8</v>
      </c>
      <c r="CG13" s="355">
        <v>4.2</v>
      </c>
      <c r="CH13" s="355">
        <v>4</v>
      </c>
      <c r="CI13" s="355">
        <v>5.6</v>
      </c>
      <c r="CJ13" s="355">
        <v>6</v>
      </c>
      <c r="CK13" s="355">
        <v>10</v>
      </c>
      <c r="CL13" s="355">
        <v>1.5</v>
      </c>
      <c r="CM13" s="355">
        <v>1.5</v>
      </c>
      <c r="CN13" s="355">
        <v>1.5</v>
      </c>
      <c r="CO13" s="355">
        <v>1.5</v>
      </c>
      <c r="CP13" s="355">
        <v>1.5</v>
      </c>
      <c r="CQ13" s="355">
        <v>1.5</v>
      </c>
      <c r="CR13" s="355">
        <v>1</v>
      </c>
      <c r="CS13" s="355">
        <v>3.3</v>
      </c>
      <c r="CT13" s="436">
        <v>2</v>
      </c>
      <c r="CU13" s="436"/>
      <c r="CV13" s="436">
        <v>2</v>
      </c>
      <c r="CW13" s="355">
        <v>1</v>
      </c>
      <c r="CX13" s="355">
        <v>1</v>
      </c>
      <c r="CY13" s="355">
        <v>1</v>
      </c>
      <c r="CZ13" s="355">
        <v>1</v>
      </c>
      <c r="DA13" s="355">
        <v>1</v>
      </c>
    </row>
    <row r="14" spans="1:105" s="353" customFormat="1" x14ac:dyDescent="0.2">
      <c r="A14" s="355"/>
      <c r="B14" s="386" t="s">
        <v>340</v>
      </c>
      <c r="C14" s="354"/>
      <c r="D14" s="378"/>
      <c r="E14" s="355" t="s">
        <v>0</v>
      </c>
      <c r="F14" s="355" t="s">
        <v>0</v>
      </c>
      <c r="G14" s="355" t="s">
        <v>0</v>
      </c>
      <c r="H14" s="355" t="s">
        <v>0</v>
      </c>
      <c r="I14" s="355" t="s">
        <v>0</v>
      </c>
      <c r="J14" s="355" t="s">
        <v>0</v>
      </c>
      <c r="K14" s="355" t="s">
        <v>0</v>
      </c>
      <c r="L14" s="355" t="s">
        <v>0</v>
      </c>
      <c r="M14" s="355" t="s">
        <v>0</v>
      </c>
      <c r="N14" s="355" t="s">
        <v>1</v>
      </c>
      <c r="O14" s="355" t="s">
        <v>0</v>
      </c>
      <c r="P14" s="355" t="s">
        <v>0</v>
      </c>
      <c r="Q14" s="355" t="s">
        <v>0</v>
      </c>
      <c r="R14" s="355" t="s">
        <v>2</v>
      </c>
      <c r="S14" s="355" t="s">
        <v>2</v>
      </c>
      <c r="T14" s="355" t="s">
        <v>3</v>
      </c>
      <c r="U14" s="355" t="s">
        <v>2</v>
      </c>
      <c r="V14" s="355" t="s">
        <v>0</v>
      </c>
      <c r="W14" s="355" t="s">
        <v>0</v>
      </c>
      <c r="X14" s="355" t="s">
        <v>0</v>
      </c>
      <c r="Y14" s="355" t="s">
        <v>0</v>
      </c>
      <c r="Z14" s="355" t="s">
        <v>0</v>
      </c>
      <c r="AA14" s="355" t="s">
        <v>0</v>
      </c>
      <c r="AB14" s="355" t="s">
        <v>4</v>
      </c>
      <c r="AC14" s="355" t="s">
        <v>4</v>
      </c>
      <c r="AD14" s="355" t="s">
        <v>2</v>
      </c>
      <c r="AE14" s="355" t="s">
        <v>2</v>
      </c>
      <c r="AF14" s="355" t="s">
        <v>2</v>
      </c>
      <c r="AG14" s="355" t="s">
        <v>2</v>
      </c>
      <c r="AH14" s="355" t="s">
        <v>2</v>
      </c>
      <c r="AI14" s="355" t="s">
        <v>2</v>
      </c>
      <c r="AJ14" s="355" t="s">
        <v>2</v>
      </c>
      <c r="AK14" s="355" t="s">
        <v>2</v>
      </c>
      <c r="AL14" s="355" t="s">
        <v>2</v>
      </c>
      <c r="AM14" s="355" t="s">
        <v>2</v>
      </c>
      <c r="AN14" s="355" t="s">
        <v>2</v>
      </c>
      <c r="AO14" s="355" t="s">
        <v>2</v>
      </c>
      <c r="AP14" s="355" t="s">
        <v>0</v>
      </c>
      <c r="AQ14" s="355" t="s">
        <v>0</v>
      </c>
      <c r="AR14" s="355" t="s">
        <v>0</v>
      </c>
      <c r="AS14" s="355" t="s">
        <v>0</v>
      </c>
      <c r="AT14" s="355" t="s">
        <v>0</v>
      </c>
      <c r="AU14" s="355" t="s">
        <v>0</v>
      </c>
      <c r="AV14" s="355" t="s">
        <v>0</v>
      </c>
      <c r="AW14" s="355" t="s">
        <v>0</v>
      </c>
      <c r="AX14" s="355" t="s">
        <v>0</v>
      </c>
      <c r="AY14" s="355" t="s">
        <v>0</v>
      </c>
      <c r="AZ14" s="355" t="s">
        <v>0</v>
      </c>
      <c r="BA14" s="355" t="s">
        <v>0</v>
      </c>
      <c r="BB14" s="355" t="s">
        <v>0</v>
      </c>
      <c r="BC14" s="355" t="s">
        <v>0</v>
      </c>
      <c r="BD14" s="355" t="s">
        <v>0</v>
      </c>
      <c r="BE14" s="355" t="s">
        <v>0</v>
      </c>
      <c r="BF14" s="355" t="s">
        <v>0</v>
      </c>
      <c r="BG14" s="355" t="s">
        <v>0</v>
      </c>
      <c r="BH14" s="355" t="s">
        <v>0</v>
      </c>
      <c r="BI14" s="355" t="s">
        <v>0</v>
      </c>
      <c r="BJ14" s="355" t="s">
        <v>0</v>
      </c>
      <c r="BK14" s="355" t="s">
        <v>0</v>
      </c>
      <c r="BL14" s="355" t="s">
        <v>0</v>
      </c>
      <c r="BM14" s="355" t="s">
        <v>0</v>
      </c>
      <c r="BN14" s="355" t="s">
        <v>0</v>
      </c>
      <c r="BO14" s="355" t="s">
        <v>0</v>
      </c>
      <c r="BP14" s="355" t="s">
        <v>0</v>
      </c>
      <c r="BQ14" s="355" t="s">
        <v>0</v>
      </c>
      <c r="BR14" s="355" t="s">
        <v>0</v>
      </c>
      <c r="BS14" s="355" t="s">
        <v>0</v>
      </c>
      <c r="BT14" s="355" t="s">
        <v>0</v>
      </c>
      <c r="BU14" s="355" t="s">
        <v>0</v>
      </c>
      <c r="BV14" s="355" t="s">
        <v>0</v>
      </c>
      <c r="BW14" s="355" t="s">
        <v>0</v>
      </c>
      <c r="BX14" s="355" t="s">
        <v>0</v>
      </c>
      <c r="BY14" s="355" t="s">
        <v>0</v>
      </c>
      <c r="BZ14" s="355" t="s">
        <v>0</v>
      </c>
      <c r="CA14" s="355" t="s">
        <v>0</v>
      </c>
      <c r="CB14" s="355" t="s">
        <v>0</v>
      </c>
      <c r="CC14" s="355" t="s">
        <v>0</v>
      </c>
      <c r="CD14" s="355" t="s">
        <v>0</v>
      </c>
      <c r="CE14" s="355" t="s">
        <v>0</v>
      </c>
      <c r="CF14" s="355" t="s">
        <v>0</v>
      </c>
      <c r="CG14" s="355" t="s">
        <v>0</v>
      </c>
      <c r="CH14" s="355" t="s">
        <v>0</v>
      </c>
      <c r="CI14" s="355" t="s">
        <v>0</v>
      </c>
      <c r="CJ14" s="355" t="s">
        <v>0</v>
      </c>
      <c r="CK14" s="355" t="s">
        <v>0</v>
      </c>
      <c r="CL14" s="355" t="s">
        <v>2</v>
      </c>
      <c r="CM14" s="355" t="s">
        <v>0</v>
      </c>
      <c r="CN14" s="355" t="s">
        <v>0</v>
      </c>
      <c r="CO14" s="355" t="s">
        <v>0</v>
      </c>
      <c r="CP14" s="355" t="s">
        <v>0</v>
      </c>
      <c r="CQ14" s="355" t="s">
        <v>0</v>
      </c>
      <c r="CR14" s="355" t="s">
        <v>0</v>
      </c>
      <c r="CS14" s="355" t="s">
        <v>2</v>
      </c>
      <c r="CT14" s="436" t="s">
        <v>2</v>
      </c>
      <c r="CU14" s="436" t="s">
        <v>2</v>
      </c>
      <c r="CV14" s="436" t="s">
        <v>2</v>
      </c>
      <c r="CW14" s="355" t="s">
        <v>2</v>
      </c>
      <c r="CX14" s="355" t="s">
        <v>0</v>
      </c>
      <c r="CY14" s="355" t="s">
        <v>0</v>
      </c>
      <c r="CZ14" s="355" t="s">
        <v>0</v>
      </c>
      <c r="DA14" s="355" t="s">
        <v>0</v>
      </c>
    </row>
    <row r="15" spans="1:105" s="353" customFormat="1" x14ac:dyDescent="0.2">
      <c r="A15" s="355"/>
      <c r="B15" s="386" t="s">
        <v>341</v>
      </c>
      <c r="C15" s="354"/>
      <c r="D15" s="378">
        <f>SUM(E15:DA15)</f>
        <v>71</v>
      </c>
      <c r="E15" s="355">
        <v>1</v>
      </c>
      <c r="F15" s="355">
        <v>1</v>
      </c>
      <c r="G15" s="355">
        <v>1</v>
      </c>
      <c r="H15" s="355">
        <v>1</v>
      </c>
      <c r="I15" s="355">
        <v>1</v>
      </c>
      <c r="J15" s="355">
        <v>1</v>
      </c>
      <c r="K15" s="355">
        <v>1</v>
      </c>
      <c r="L15" s="355">
        <v>1</v>
      </c>
      <c r="M15" s="355">
        <v>0</v>
      </c>
      <c r="N15" s="355">
        <v>1</v>
      </c>
      <c r="O15" s="355">
        <v>1</v>
      </c>
      <c r="P15" s="355">
        <v>1</v>
      </c>
      <c r="Q15" s="355">
        <v>0</v>
      </c>
      <c r="R15" s="355">
        <v>1</v>
      </c>
      <c r="S15" s="355">
        <v>1</v>
      </c>
      <c r="T15" s="355">
        <v>1</v>
      </c>
      <c r="U15" s="355">
        <v>1</v>
      </c>
      <c r="V15" s="355">
        <v>1</v>
      </c>
      <c r="W15" s="355">
        <v>1</v>
      </c>
      <c r="X15" s="355">
        <v>1</v>
      </c>
      <c r="Y15" s="355">
        <v>1</v>
      </c>
      <c r="Z15" s="355">
        <v>1</v>
      </c>
      <c r="AA15" s="355">
        <v>1</v>
      </c>
      <c r="AB15" s="355">
        <v>1</v>
      </c>
      <c r="AC15" s="355">
        <v>1</v>
      </c>
      <c r="AD15" s="355">
        <v>0</v>
      </c>
      <c r="AE15" s="355">
        <v>0</v>
      </c>
      <c r="AF15" s="355">
        <v>1</v>
      </c>
      <c r="AG15" s="355">
        <v>0</v>
      </c>
      <c r="AH15" s="355">
        <v>0</v>
      </c>
      <c r="AI15" s="355">
        <v>0</v>
      </c>
      <c r="AJ15" s="355">
        <v>0</v>
      </c>
      <c r="AK15" s="355">
        <v>1</v>
      </c>
      <c r="AL15" s="355">
        <v>1</v>
      </c>
      <c r="AM15" s="355">
        <v>1</v>
      </c>
      <c r="AN15" s="355">
        <v>1</v>
      </c>
      <c r="AO15" s="355">
        <v>1</v>
      </c>
      <c r="AP15" s="355">
        <v>1</v>
      </c>
      <c r="AQ15" s="355">
        <v>1</v>
      </c>
      <c r="AR15" s="355">
        <v>1</v>
      </c>
      <c r="AS15" s="355">
        <v>1</v>
      </c>
      <c r="AT15" s="355">
        <v>1</v>
      </c>
      <c r="AU15" s="355">
        <v>0</v>
      </c>
      <c r="AV15" s="355">
        <v>0</v>
      </c>
      <c r="AW15" s="355">
        <v>1</v>
      </c>
      <c r="AX15" s="355">
        <v>0</v>
      </c>
      <c r="AY15" s="355">
        <v>1</v>
      </c>
      <c r="AZ15" s="355">
        <v>1</v>
      </c>
      <c r="BA15" s="355">
        <v>1</v>
      </c>
      <c r="BB15" s="355">
        <v>1</v>
      </c>
      <c r="BC15" s="355">
        <v>1</v>
      </c>
      <c r="BD15" s="355">
        <v>1</v>
      </c>
      <c r="BE15" s="355">
        <v>1</v>
      </c>
      <c r="BF15" s="355">
        <v>1</v>
      </c>
      <c r="BG15" s="355">
        <v>1</v>
      </c>
      <c r="BH15" s="355">
        <v>1</v>
      </c>
      <c r="BI15" s="355">
        <v>0</v>
      </c>
      <c r="BJ15" s="355">
        <v>1</v>
      </c>
      <c r="BK15" s="355">
        <v>1</v>
      </c>
      <c r="BL15" s="355">
        <v>1</v>
      </c>
      <c r="BM15" s="355">
        <v>1</v>
      </c>
      <c r="BN15" s="355">
        <v>1</v>
      </c>
      <c r="BO15" s="355">
        <v>1</v>
      </c>
      <c r="BP15" s="355">
        <v>1</v>
      </c>
      <c r="BQ15" s="355">
        <v>1</v>
      </c>
      <c r="BR15" s="355">
        <v>1</v>
      </c>
      <c r="BS15" s="355">
        <v>1</v>
      </c>
      <c r="BT15" s="355">
        <v>1</v>
      </c>
      <c r="BU15" s="355">
        <v>1</v>
      </c>
      <c r="BV15" s="355">
        <v>1</v>
      </c>
      <c r="BW15" s="355">
        <v>1</v>
      </c>
      <c r="BX15" s="355">
        <v>0</v>
      </c>
      <c r="BY15" s="355">
        <v>0</v>
      </c>
      <c r="BZ15" s="355">
        <v>1</v>
      </c>
      <c r="CA15" s="355">
        <v>1</v>
      </c>
      <c r="CB15" s="355">
        <v>1</v>
      </c>
      <c r="CC15" s="355">
        <v>1</v>
      </c>
      <c r="CD15" s="355">
        <v>1</v>
      </c>
      <c r="CE15" s="355">
        <v>1</v>
      </c>
      <c r="CF15" s="355">
        <v>1</v>
      </c>
      <c r="CG15" s="355">
        <v>1</v>
      </c>
      <c r="CH15" s="355">
        <v>1</v>
      </c>
      <c r="CI15" s="355">
        <v>1</v>
      </c>
      <c r="CJ15" s="355">
        <v>1</v>
      </c>
      <c r="CK15" s="355">
        <v>0</v>
      </c>
      <c r="CL15" s="355">
        <v>0</v>
      </c>
      <c r="CM15" s="355">
        <v>1</v>
      </c>
      <c r="CN15" s="355"/>
      <c r="CO15" s="355"/>
      <c r="CP15" s="355"/>
      <c r="CQ15" s="355"/>
      <c r="CR15" s="355"/>
      <c r="CS15" s="355"/>
      <c r="CT15" s="436"/>
      <c r="CU15" s="436"/>
      <c r="CV15" s="436"/>
      <c r="CW15" s="355"/>
      <c r="CX15" s="355"/>
      <c r="CY15" s="355"/>
      <c r="CZ15" s="355"/>
      <c r="DA15" s="355"/>
    </row>
    <row r="16" spans="1:105" s="353" customFormat="1" x14ac:dyDescent="0.2">
      <c r="A16" s="355"/>
      <c r="B16" s="386" t="s">
        <v>342</v>
      </c>
      <c r="C16" s="354"/>
      <c r="D16" s="378">
        <f>SUM(E16:DA16)</f>
        <v>2348</v>
      </c>
      <c r="E16" s="355">
        <f>E11</f>
        <v>59</v>
      </c>
      <c r="F16" s="355">
        <f t="shared" ref="F16:L16" si="0">F11</f>
        <v>176</v>
      </c>
      <c r="G16" s="355">
        <f t="shared" si="0"/>
        <v>6</v>
      </c>
      <c r="H16" s="355">
        <f t="shared" si="0"/>
        <v>6</v>
      </c>
      <c r="I16" s="355">
        <f t="shared" si="0"/>
        <v>13</v>
      </c>
      <c r="J16" s="355">
        <f t="shared" si="0"/>
        <v>19</v>
      </c>
      <c r="K16" s="355">
        <f t="shared" si="0"/>
        <v>107</v>
      </c>
      <c r="L16" s="355">
        <f t="shared" si="0"/>
        <v>13</v>
      </c>
      <c r="M16" s="355">
        <v>0</v>
      </c>
      <c r="N16" s="355">
        <v>0</v>
      </c>
      <c r="O16" s="355">
        <f>O11</f>
        <v>16</v>
      </c>
      <c r="P16" s="355">
        <f>P11</f>
        <v>30</v>
      </c>
      <c r="Q16" s="355">
        <f>Q11</f>
        <v>76</v>
      </c>
      <c r="R16" s="355">
        <f>R11</f>
        <v>15</v>
      </c>
      <c r="S16" s="355">
        <v>0</v>
      </c>
      <c r="T16" s="355">
        <v>0</v>
      </c>
      <c r="U16" s="355">
        <f t="shared" ref="U16:AA16" si="1">U11</f>
        <v>12</v>
      </c>
      <c r="V16" s="355">
        <f t="shared" si="1"/>
        <v>41</v>
      </c>
      <c r="W16" s="355">
        <f t="shared" si="1"/>
        <v>17</v>
      </c>
      <c r="X16" s="355">
        <f t="shared" si="1"/>
        <v>22</v>
      </c>
      <c r="Y16" s="355">
        <f t="shared" si="1"/>
        <v>31</v>
      </c>
      <c r="Z16" s="355">
        <f t="shared" si="1"/>
        <v>13</v>
      </c>
      <c r="AA16" s="355">
        <f t="shared" si="1"/>
        <v>10</v>
      </c>
      <c r="AB16" s="355">
        <f t="shared" ref="AB16:AC16" si="2">AB11</f>
        <v>120</v>
      </c>
      <c r="AC16" s="355">
        <f t="shared" si="2"/>
        <v>55</v>
      </c>
      <c r="AD16" s="355"/>
      <c r="AE16" s="355"/>
      <c r="AF16" s="355">
        <f>AF11</f>
        <v>47</v>
      </c>
      <c r="AG16" s="355">
        <v>0</v>
      </c>
      <c r="AH16" s="355">
        <v>0</v>
      </c>
      <c r="AI16" s="355">
        <v>0</v>
      </c>
      <c r="AJ16" s="355">
        <v>0</v>
      </c>
      <c r="AK16" s="355">
        <f>AK11</f>
        <v>14</v>
      </c>
      <c r="AL16" s="355">
        <f t="shared" ref="AL16:AO16" si="3">AL11</f>
        <v>23</v>
      </c>
      <c r="AM16" s="355">
        <f t="shared" si="3"/>
        <v>37</v>
      </c>
      <c r="AN16" s="355">
        <f t="shared" si="3"/>
        <v>37</v>
      </c>
      <c r="AO16" s="355">
        <f t="shared" si="3"/>
        <v>20</v>
      </c>
      <c r="AP16" s="355">
        <f>AP11</f>
        <v>20</v>
      </c>
      <c r="AQ16" s="355">
        <f>AQ11</f>
        <v>13</v>
      </c>
      <c r="AR16" s="355">
        <f>AR11</f>
        <v>21</v>
      </c>
      <c r="AS16" s="355">
        <f>AS11</f>
        <v>14</v>
      </c>
      <c r="AT16" s="355">
        <f>AT11</f>
        <v>2</v>
      </c>
      <c r="AU16" s="355"/>
      <c r="AV16" s="355"/>
      <c r="AW16" s="355">
        <f>AW11</f>
        <v>9</v>
      </c>
      <c r="AX16" s="355"/>
      <c r="AY16" s="355">
        <v>63</v>
      </c>
      <c r="AZ16" s="355">
        <f>AZ11</f>
        <v>16</v>
      </c>
      <c r="BA16" s="355">
        <f t="shared" ref="BA16:BK16" si="4">BA11</f>
        <v>17</v>
      </c>
      <c r="BB16" s="355">
        <f t="shared" si="4"/>
        <v>7</v>
      </c>
      <c r="BC16" s="355">
        <f t="shared" si="4"/>
        <v>18</v>
      </c>
      <c r="BD16" s="355">
        <f t="shared" si="4"/>
        <v>39</v>
      </c>
      <c r="BE16" s="355">
        <f t="shared" si="4"/>
        <v>27</v>
      </c>
      <c r="BF16" s="355">
        <f t="shared" si="4"/>
        <v>37</v>
      </c>
      <c r="BG16" s="355">
        <v>15</v>
      </c>
      <c r="BH16" s="355">
        <v>15</v>
      </c>
      <c r="BI16" s="355"/>
      <c r="BJ16" s="355">
        <f t="shared" si="4"/>
        <v>6</v>
      </c>
      <c r="BK16" s="355">
        <f t="shared" si="4"/>
        <v>4</v>
      </c>
      <c r="BL16" s="355">
        <f>BL11</f>
        <v>3.5</v>
      </c>
      <c r="BM16" s="355">
        <f>BM11</f>
        <v>5.5</v>
      </c>
      <c r="BN16" s="355">
        <f>BN11</f>
        <v>3.5</v>
      </c>
      <c r="BO16" s="355">
        <f t="shared" ref="BO16:BW16" si="5">BO11</f>
        <v>3.5</v>
      </c>
      <c r="BP16" s="355">
        <f t="shared" si="5"/>
        <v>3</v>
      </c>
      <c r="BQ16" s="355">
        <f t="shared" si="5"/>
        <v>5</v>
      </c>
      <c r="BR16" s="355">
        <f t="shared" si="5"/>
        <v>6</v>
      </c>
      <c r="BS16" s="355">
        <f t="shared" si="5"/>
        <v>7</v>
      </c>
      <c r="BT16" s="355">
        <f t="shared" si="5"/>
        <v>6</v>
      </c>
      <c r="BU16" s="355">
        <f t="shared" si="5"/>
        <v>7</v>
      </c>
      <c r="BV16" s="355">
        <f t="shared" si="5"/>
        <v>12</v>
      </c>
      <c r="BW16" s="355">
        <f t="shared" si="5"/>
        <v>6</v>
      </c>
      <c r="BX16" s="355">
        <v>0</v>
      </c>
      <c r="BY16" s="355">
        <v>0</v>
      </c>
      <c r="BZ16" s="355">
        <f>BZ11</f>
        <v>2</v>
      </c>
      <c r="CA16" s="355">
        <f t="shared" ref="CA16:CJ16" si="6">CA11</f>
        <v>2</v>
      </c>
      <c r="CB16" s="355">
        <f t="shared" si="6"/>
        <v>26</v>
      </c>
      <c r="CC16" s="355">
        <f t="shared" si="6"/>
        <v>10</v>
      </c>
      <c r="CD16" s="355">
        <f t="shared" si="6"/>
        <v>79</v>
      </c>
      <c r="CE16" s="355">
        <f t="shared" si="6"/>
        <v>35</v>
      </c>
      <c r="CF16" s="355">
        <f t="shared" si="6"/>
        <v>82</v>
      </c>
      <c r="CG16" s="355">
        <f t="shared" si="6"/>
        <v>35</v>
      </c>
      <c r="CH16" s="355">
        <f t="shared" si="6"/>
        <v>42</v>
      </c>
      <c r="CI16" s="355">
        <f t="shared" si="6"/>
        <v>116</v>
      </c>
      <c r="CJ16" s="355">
        <f t="shared" si="6"/>
        <v>50</v>
      </c>
      <c r="CK16" s="355">
        <v>0</v>
      </c>
      <c r="CL16" s="355">
        <v>0</v>
      </c>
      <c r="CM16" s="355">
        <f>CM11</f>
        <v>65</v>
      </c>
      <c r="CN16" s="355">
        <v>20</v>
      </c>
      <c r="CO16" s="355">
        <v>24</v>
      </c>
      <c r="CP16" s="355">
        <v>18</v>
      </c>
      <c r="CQ16" s="355">
        <v>64</v>
      </c>
      <c r="CR16" s="355">
        <f>CR11</f>
        <v>37</v>
      </c>
      <c r="CS16" s="355">
        <f t="shared" ref="CS16:CY16" si="7">CS11</f>
        <v>25</v>
      </c>
      <c r="CT16" s="436">
        <f t="shared" si="7"/>
        <v>21</v>
      </c>
      <c r="CU16" s="436">
        <f t="shared" si="7"/>
        <v>26</v>
      </c>
      <c r="CV16" s="436">
        <f t="shared" si="7"/>
        <v>36</v>
      </c>
      <c r="CW16" s="355">
        <f t="shared" si="7"/>
        <v>13</v>
      </c>
      <c r="CX16" s="355">
        <f t="shared" si="7"/>
        <v>41</v>
      </c>
      <c r="CY16" s="355">
        <f t="shared" si="7"/>
        <v>4</v>
      </c>
      <c r="CZ16" s="355">
        <f t="shared" ref="CZ16:DA16" si="8">CZ11</f>
        <v>9</v>
      </c>
      <c r="DA16" s="355">
        <f t="shared" si="8"/>
        <v>20</v>
      </c>
    </row>
    <row r="17" spans="1:105" s="353" customFormat="1" ht="12.75" x14ac:dyDescent="0.25">
      <c r="A17" s="355"/>
      <c r="B17" s="386" t="s">
        <v>343</v>
      </c>
      <c r="C17" s="379"/>
      <c r="D17" s="378">
        <f>SUM(E17:DA17)</f>
        <v>2546</v>
      </c>
      <c r="E17" s="355">
        <f>E16</f>
        <v>59</v>
      </c>
      <c r="F17" s="355">
        <f t="shared" ref="F17:BQ17" si="9">F16</f>
        <v>176</v>
      </c>
      <c r="G17" s="355">
        <f t="shared" si="9"/>
        <v>6</v>
      </c>
      <c r="H17" s="355">
        <f t="shared" si="9"/>
        <v>6</v>
      </c>
      <c r="I17" s="355">
        <f t="shared" si="9"/>
        <v>13</v>
      </c>
      <c r="J17" s="355">
        <f t="shared" si="9"/>
        <v>19</v>
      </c>
      <c r="K17" s="355">
        <f t="shared" si="9"/>
        <v>107</v>
      </c>
      <c r="L17" s="355">
        <f t="shared" si="9"/>
        <v>13</v>
      </c>
      <c r="M17" s="355">
        <f t="shared" si="9"/>
        <v>0</v>
      </c>
      <c r="N17" s="355">
        <v>132</v>
      </c>
      <c r="O17" s="355">
        <f t="shared" si="9"/>
        <v>16</v>
      </c>
      <c r="P17" s="355">
        <f t="shared" si="9"/>
        <v>30</v>
      </c>
      <c r="Q17" s="355">
        <f t="shared" si="9"/>
        <v>76</v>
      </c>
      <c r="R17" s="355">
        <f t="shared" si="9"/>
        <v>15</v>
      </c>
      <c r="S17" s="355">
        <f t="shared" si="9"/>
        <v>0</v>
      </c>
      <c r="T17" s="355">
        <v>66</v>
      </c>
      <c r="U17" s="355">
        <f t="shared" si="9"/>
        <v>12</v>
      </c>
      <c r="V17" s="355">
        <f t="shared" si="9"/>
        <v>41</v>
      </c>
      <c r="W17" s="355">
        <f t="shared" si="9"/>
        <v>17</v>
      </c>
      <c r="X17" s="355">
        <f t="shared" si="9"/>
        <v>22</v>
      </c>
      <c r="Y17" s="355">
        <f t="shared" si="9"/>
        <v>31</v>
      </c>
      <c r="Z17" s="355">
        <f t="shared" si="9"/>
        <v>13</v>
      </c>
      <c r="AA17" s="355">
        <f t="shared" si="9"/>
        <v>10</v>
      </c>
      <c r="AB17" s="355">
        <f t="shared" si="9"/>
        <v>120</v>
      </c>
      <c r="AC17" s="355">
        <f t="shared" si="9"/>
        <v>55</v>
      </c>
      <c r="AD17" s="355">
        <f t="shared" si="9"/>
        <v>0</v>
      </c>
      <c r="AE17" s="355">
        <f t="shared" si="9"/>
        <v>0</v>
      </c>
      <c r="AF17" s="355">
        <f t="shared" si="9"/>
        <v>47</v>
      </c>
      <c r="AG17" s="355">
        <f t="shared" si="9"/>
        <v>0</v>
      </c>
      <c r="AH17" s="355">
        <f t="shared" si="9"/>
        <v>0</v>
      </c>
      <c r="AI17" s="355">
        <f t="shared" si="9"/>
        <v>0</v>
      </c>
      <c r="AJ17" s="355">
        <f t="shared" si="9"/>
        <v>0</v>
      </c>
      <c r="AK17" s="355">
        <f t="shared" si="9"/>
        <v>14</v>
      </c>
      <c r="AL17" s="355">
        <f t="shared" si="9"/>
        <v>23</v>
      </c>
      <c r="AM17" s="355">
        <f t="shared" si="9"/>
        <v>37</v>
      </c>
      <c r="AN17" s="355">
        <f t="shared" si="9"/>
        <v>37</v>
      </c>
      <c r="AO17" s="355">
        <f t="shared" si="9"/>
        <v>20</v>
      </c>
      <c r="AP17" s="355">
        <f t="shared" si="9"/>
        <v>20</v>
      </c>
      <c r="AQ17" s="355">
        <f t="shared" si="9"/>
        <v>13</v>
      </c>
      <c r="AR17" s="355">
        <f t="shared" si="9"/>
        <v>21</v>
      </c>
      <c r="AS17" s="355">
        <f t="shared" si="9"/>
        <v>14</v>
      </c>
      <c r="AT17" s="355">
        <f t="shared" si="9"/>
        <v>2</v>
      </c>
      <c r="AU17" s="355">
        <f t="shared" si="9"/>
        <v>0</v>
      </c>
      <c r="AV17" s="355">
        <f t="shared" si="9"/>
        <v>0</v>
      </c>
      <c r="AW17" s="355">
        <f t="shared" si="9"/>
        <v>9</v>
      </c>
      <c r="AX17" s="355">
        <f t="shared" si="9"/>
        <v>0</v>
      </c>
      <c r="AY17" s="355">
        <f t="shared" si="9"/>
        <v>63</v>
      </c>
      <c r="AZ17" s="355">
        <f t="shared" si="9"/>
        <v>16</v>
      </c>
      <c r="BA17" s="355">
        <f t="shared" si="9"/>
        <v>17</v>
      </c>
      <c r="BB17" s="355">
        <f t="shared" si="9"/>
        <v>7</v>
      </c>
      <c r="BC17" s="355">
        <f t="shared" si="9"/>
        <v>18</v>
      </c>
      <c r="BD17" s="355">
        <f t="shared" si="9"/>
        <v>39</v>
      </c>
      <c r="BE17" s="355">
        <f t="shared" si="9"/>
        <v>27</v>
      </c>
      <c r="BF17" s="355">
        <f t="shared" si="9"/>
        <v>37</v>
      </c>
      <c r="BG17" s="355">
        <f t="shared" si="9"/>
        <v>15</v>
      </c>
      <c r="BH17" s="355">
        <f t="shared" si="9"/>
        <v>15</v>
      </c>
      <c r="BI17" s="355">
        <f t="shared" si="9"/>
        <v>0</v>
      </c>
      <c r="BJ17" s="355">
        <f t="shared" si="9"/>
        <v>6</v>
      </c>
      <c r="BK17" s="355">
        <f t="shared" si="9"/>
        <v>4</v>
      </c>
      <c r="BL17" s="355">
        <f t="shared" si="9"/>
        <v>3.5</v>
      </c>
      <c r="BM17" s="355">
        <f t="shared" si="9"/>
        <v>5.5</v>
      </c>
      <c r="BN17" s="355">
        <f t="shared" si="9"/>
        <v>3.5</v>
      </c>
      <c r="BO17" s="355">
        <f t="shared" si="9"/>
        <v>3.5</v>
      </c>
      <c r="BP17" s="355">
        <f t="shared" si="9"/>
        <v>3</v>
      </c>
      <c r="BQ17" s="355">
        <f t="shared" si="9"/>
        <v>5</v>
      </c>
      <c r="BR17" s="355">
        <f t="shared" ref="BR17:CI17" si="10">BR16</f>
        <v>6</v>
      </c>
      <c r="BS17" s="355">
        <f t="shared" si="10"/>
        <v>7</v>
      </c>
      <c r="BT17" s="355">
        <f t="shared" si="10"/>
        <v>6</v>
      </c>
      <c r="BU17" s="355">
        <f t="shared" si="10"/>
        <v>7</v>
      </c>
      <c r="BV17" s="355">
        <f t="shared" si="10"/>
        <v>12</v>
      </c>
      <c r="BW17" s="355">
        <f t="shared" si="10"/>
        <v>6</v>
      </c>
      <c r="BX17" s="355">
        <f t="shared" si="10"/>
        <v>0</v>
      </c>
      <c r="BY17" s="355">
        <f t="shared" si="10"/>
        <v>0</v>
      </c>
      <c r="BZ17" s="355">
        <f t="shared" si="10"/>
        <v>2</v>
      </c>
      <c r="CA17" s="355">
        <f t="shared" si="10"/>
        <v>2</v>
      </c>
      <c r="CB17" s="355">
        <f t="shared" si="10"/>
        <v>26</v>
      </c>
      <c r="CC17" s="355">
        <f t="shared" si="10"/>
        <v>10</v>
      </c>
      <c r="CD17" s="355">
        <f t="shared" si="10"/>
        <v>79</v>
      </c>
      <c r="CE17" s="355">
        <f t="shared" si="10"/>
        <v>35</v>
      </c>
      <c r="CF17" s="355">
        <f t="shared" si="10"/>
        <v>82</v>
      </c>
      <c r="CG17" s="355">
        <f t="shared" si="10"/>
        <v>35</v>
      </c>
      <c r="CH17" s="355">
        <f t="shared" si="10"/>
        <v>42</v>
      </c>
      <c r="CI17" s="355">
        <f t="shared" si="10"/>
        <v>116</v>
      </c>
      <c r="CJ17" s="355">
        <f>CJ16</f>
        <v>50</v>
      </c>
      <c r="CK17" s="355">
        <f t="shared" ref="CK17:DA17" si="11">CK16</f>
        <v>0</v>
      </c>
      <c r="CL17" s="355">
        <f t="shared" si="11"/>
        <v>0</v>
      </c>
      <c r="CM17" s="355">
        <f t="shared" si="11"/>
        <v>65</v>
      </c>
      <c r="CN17" s="355">
        <f t="shared" si="11"/>
        <v>20</v>
      </c>
      <c r="CO17" s="355">
        <f t="shared" si="11"/>
        <v>24</v>
      </c>
      <c r="CP17" s="355">
        <f t="shared" si="11"/>
        <v>18</v>
      </c>
      <c r="CQ17" s="355">
        <f t="shared" si="11"/>
        <v>64</v>
      </c>
      <c r="CR17" s="355">
        <f t="shared" si="11"/>
        <v>37</v>
      </c>
      <c r="CS17" s="355">
        <f t="shared" si="11"/>
        <v>25</v>
      </c>
      <c r="CT17" s="436">
        <f t="shared" si="11"/>
        <v>21</v>
      </c>
      <c r="CU17" s="436">
        <f t="shared" si="11"/>
        <v>26</v>
      </c>
      <c r="CV17" s="436">
        <f t="shared" si="11"/>
        <v>36</v>
      </c>
      <c r="CW17" s="355">
        <f t="shared" si="11"/>
        <v>13</v>
      </c>
      <c r="CX17" s="355">
        <f t="shared" si="11"/>
        <v>41</v>
      </c>
      <c r="CY17" s="355">
        <f t="shared" si="11"/>
        <v>4</v>
      </c>
      <c r="CZ17" s="355">
        <f t="shared" si="11"/>
        <v>9</v>
      </c>
      <c r="DA17" s="355">
        <f t="shared" si="11"/>
        <v>20</v>
      </c>
    </row>
    <row r="18" spans="1:105" s="353" customFormat="1" x14ac:dyDescent="0.2">
      <c r="A18" s="355"/>
      <c r="B18" s="386" t="s">
        <v>425</v>
      </c>
      <c r="C18" s="354"/>
      <c r="D18" s="378"/>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436"/>
      <c r="CU18" s="436"/>
      <c r="CV18" s="436"/>
      <c r="CW18" s="355"/>
      <c r="CX18" s="355"/>
      <c r="CY18" s="355"/>
      <c r="CZ18" s="355"/>
      <c r="DA18" s="355"/>
    </row>
    <row r="19" spans="1:105" s="383" customFormat="1" ht="270" x14ac:dyDescent="0.2">
      <c r="A19" s="380"/>
      <c r="B19" s="386" t="s">
        <v>391</v>
      </c>
      <c r="C19" s="381" t="s">
        <v>389</v>
      </c>
      <c r="D19" s="382"/>
      <c r="E19" s="380"/>
      <c r="F19" s="380">
        <v>22</v>
      </c>
      <c r="G19" s="380"/>
      <c r="H19" s="380"/>
      <c r="I19" s="380"/>
      <c r="J19" s="380"/>
      <c r="K19" s="380"/>
      <c r="L19" s="380"/>
      <c r="M19" s="380"/>
      <c r="N19" s="380"/>
      <c r="O19" s="380" t="s">
        <v>329</v>
      </c>
      <c r="P19" s="380" t="s">
        <v>329</v>
      </c>
      <c r="Q19" s="380" t="s">
        <v>26</v>
      </c>
      <c r="R19" s="380"/>
      <c r="S19" s="380"/>
      <c r="T19" s="380" t="s">
        <v>426</v>
      </c>
      <c r="U19" s="380"/>
      <c r="V19" s="380" t="s">
        <v>330</v>
      </c>
      <c r="W19" s="380" t="s">
        <v>5</v>
      </c>
      <c r="X19" s="380"/>
      <c r="Y19" s="380" t="s">
        <v>41</v>
      </c>
      <c r="Z19" s="380" t="s">
        <v>41</v>
      </c>
      <c r="AA19" s="380"/>
      <c r="AB19" s="380" t="s">
        <v>331</v>
      </c>
      <c r="AC19" s="380" t="s">
        <v>331</v>
      </c>
      <c r="AD19" s="380"/>
      <c r="AE19" s="380"/>
      <c r="AF19" s="380" t="s">
        <v>427</v>
      </c>
      <c r="AG19" s="380"/>
      <c r="AH19" s="380"/>
      <c r="AI19" s="380"/>
      <c r="AJ19" s="380"/>
      <c r="AK19" s="380"/>
      <c r="AL19" s="380"/>
      <c r="AM19" s="380"/>
      <c r="AN19" s="380"/>
      <c r="AO19" s="380"/>
      <c r="AP19" s="380"/>
      <c r="AQ19" s="380"/>
      <c r="AR19" s="380"/>
      <c r="AS19" s="380"/>
      <c r="AT19" s="380"/>
      <c r="AU19" s="380"/>
      <c r="AV19" s="380" t="s">
        <v>7</v>
      </c>
      <c r="AW19" s="380"/>
      <c r="AX19" s="380"/>
      <c r="AY19" s="380" t="s">
        <v>428</v>
      </c>
      <c r="AZ19" s="380"/>
      <c r="BA19" s="380"/>
      <c r="BB19" s="380"/>
      <c r="BC19" s="380"/>
      <c r="BD19" s="380"/>
      <c r="BE19" s="380"/>
      <c r="BF19" s="380"/>
      <c r="BG19" s="380"/>
      <c r="BH19" s="380"/>
      <c r="BI19" s="380"/>
      <c r="BJ19" s="380"/>
      <c r="BK19" s="380"/>
      <c r="BL19" s="380"/>
      <c r="BM19" s="380"/>
      <c r="BN19" s="380"/>
      <c r="BO19" s="380"/>
      <c r="BP19" s="380"/>
      <c r="BQ19" s="380" t="s">
        <v>9</v>
      </c>
      <c r="BR19" s="380" t="s">
        <v>9</v>
      </c>
      <c r="BS19" s="380"/>
      <c r="BT19" s="380" t="s">
        <v>9</v>
      </c>
      <c r="BU19" s="380" t="s">
        <v>9</v>
      </c>
      <c r="BV19" s="380"/>
      <c r="BW19" s="380"/>
      <c r="BX19" s="380"/>
      <c r="BY19" s="380"/>
      <c r="BZ19" s="380"/>
      <c r="CA19" s="380"/>
      <c r="CB19" s="380" t="s">
        <v>9</v>
      </c>
      <c r="CC19" s="380" t="s">
        <v>9</v>
      </c>
      <c r="CD19" s="380"/>
      <c r="CE19" s="380"/>
      <c r="CF19" s="380"/>
      <c r="CG19" s="380"/>
      <c r="CH19" s="380"/>
      <c r="CI19" s="380"/>
      <c r="CJ19" s="380"/>
      <c r="CK19" s="380" t="s">
        <v>10</v>
      </c>
      <c r="CL19" s="380"/>
      <c r="CM19" s="380"/>
      <c r="CN19" s="380"/>
      <c r="CO19" s="380"/>
      <c r="CP19" s="380"/>
      <c r="CQ19" s="380"/>
      <c r="CR19" s="380"/>
      <c r="CS19" s="380"/>
      <c r="CT19" s="437"/>
      <c r="CU19" s="437"/>
      <c r="CV19" s="437"/>
      <c r="CW19" s="380"/>
      <c r="CX19" s="380"/>
      <c r="CY19" s="380"/>
      <c r="CZ19" s="380"/>
      <c r="DA19" s="380"/>
    </row>
    <row r="20" spans="1:105" s="353" customFormat="1" x14ac:dyDescent="0.2">
      <c r="A20" s="355"/>
      <c r="B20" s="386" t="s">
        <v>430</v>
      </c>
      <c r="C20" s="354"/>
      <c r="D20" s="378"/>
      <c r="E20" s="355">
        <f>E21/E16</f>
        <v>4.3220338983050848</v>
      </c>
      <c r="F20" s="355">
        <f t="shared" ref="F20:BQ20" si="12">F21/F16</f>
        <v>4.5340909090909092</v>
      </c>
      <c r="G20" s="355">
        <f t="shared" si="12"/>
        <v>6.333333333333333</v>
      </c>
      <c r="H20" s="355">
        <f>H18</f>
        <v>0</v>
      </c>
      <c r="I20" s="355">
        <f t="shared" si="12"/>
        <v>4</v>
      </c>
      <c r="J20" s="355">
        <f t="shared" si="12"/>
        <v>4.6315789473684212</v>
      </c>
      <c r="K20" s="355">
        <f t="shared" si="12"/>
        <v>3.8504672897196262</v>
      </c>
      <c r="L20" s="355">
        <f t="shared" si="12"/>
        <v>3.6923076923076925</v>
      </c>
      <c r="M20" s="355">
        <v>0</v>
      </c>
      <c r="N20" s="355">
        <v>0</v>
      </c>
      <c r="O20" s="355">
        <f t="shared" si="12"/>
        <v>3.5625</v>
      </c>
      <c r="P20" s="355">
        <f t="shared" si="12"/>
        <v>3.4</v>
      </c>
      <c r="Q20" s="355">
        <f t="shared" si="12"/>
        <v>0.27631578947368424</v>
      </c>
      <c r="R20" s="355">
        <f t="shared" si="12"/>
        <v>3.1333333333333333</v>
      </c>
      <c r="S20" s="355">
        <v>0</v>
      </c>
      <c r="T20" s="355">
        <v>0</v>
      </c>
      <c r="U20" s="355">
        <f t="shared" si="12"/>
        <v>1.3333333333333333</v>
      </c>
      <c r="V20" s="355">
        <f t="shared" si="12"/>
        <v>1.6341463414634145</v>
      </c>
      <c r="W20" s="355">
        <f t="shared" si="12"/>
        <v>7</v>
      </c>
      <c r="X20" s="355">
        <f t="shared" si="12"/>
        <v>2.8636363636363638</v>
      </c>
      <c r="Y20" s="355">
        <f t="shared" si="12"/>
        <v>3.4516129032258065</v>
      </c>
      <c r="Z20" s="355">
        <f t="shared" si="12"/>
        <v>4</v>
      </c>
      <c r="AA20" s="355">
        <f t="shared" si="12"/>
        <v>4.2</v>
      </c>
      <c r="AB20" s="355">
        <f t="shared" si="12"/>
        <v>1.5083333333333333</v>
      </c>
      <c r="AC20" s="355">
        <f t="shared" si="12"/>
        <v>1.9818181818181819</v>
      </c>
      <c r="AD20" s="355">
        <v>0</v>
      </c>
      <c r="AE20" s="355">
        <v>0</v>
      </c>
      <c r="AF20" s="355">
        <f t="shared" si="12"/>
        <v>1.7021276595744681</v>
      </c>
      <c r="AG20" s="355">
        <v>0</v>
      </c>
      <c r="AH20" s="355">
        <v>0</v>
      </c>
      <c r="AI20" s="355">
        <v>0</v>
      </c>
      <c r="AJ20" s="355">
        <v>0</v>
      </c>
      <c r="AK20" s="355">
        <f t="shared" si="12"/>
        <v>2.0714285714285716</v>
      </c>
      <c r="AL20" s="355">
        <f t="shared" si="12"/>
        <v>2.1739130434782608</v>
      </c>
      <c r="AM20" s="355">
        <f t="shared" si="12"/>
        <v>2.0270270270270272</v>
      </c>
      <c r="AN20" s="355">
        <f t="shared" si="12"/>
        <v>2.1621621621621623</v>
      </c>
      <c r="AO20" s="355">
        <f t="shared" si="12"/>
        <v>2</v>
      </c>
      <c r="AP20" s="355">
        <f t="shared" si="12"/>
        <v>2.4</v>
      </c>
      <c r="AQ20" s="355">
        <f t="shared" si="12"/>
        <v>2.3846153846153846</v>
      </c>
      <c r="AR20" s="355">
        <f t="shared" si="12"/>
        <v>3.7619047619047619</v>
      </c>
      <c r="AS20" s="355">
        <f t="shared" si="12"/>
        <v>5.7857142857142856</v>
      </c>
      <c r="AT20" s="355">
        <f t="shared" si="12"/>
        <v>4.5</v>
      </c>
      <c r="AU20" s="355">
        <v>0</v>
      </c>
      <c r="AV20" s="355">
        <v>0</v>
      </c>
      <c r="AW20" s="355">
        <f t="shared" si="12"/>
        <v>4.1111111111111107</v>
      </c>
      <c r="AX20" s="355">
        <v>0</v>
      </c>
      <c r="AY20" s="355">
        <f t="shared" si="12"/>
        <v>1.7142857142857142</v>
      </c>
      <c r="AZ20" s="355">
        <f t="shared" si="12"/>
        <v>3.625</v>
      </c>
      <c r="BA20" s="355">
        <f t="shared" si="12"/>
        <v>3.3529411764705883</v>
      </c>
      <c r="BB20" s="355">
        <f t="shared" si="12"/>
        <v>1.4285714285714286</v>
      </c>
      <c r="BC20" s="355">
        <f t="shared" si="12"/>
        <v>2.6666666666666665</v>
      </c>
      <c r="BD20" s="355">
        <f t="shared" si="12"/>
        <v>3.3076923076923075</v>
      </c>
      <c r="BE20" s="355">
        <f t="shared" si="12"/>
        <v>5.2222222222222223</v>
      </c>
      <c r="BF20" s="355">
        <f t="shared" si="12"/>
        <v>5.3243243243243246</v>
      </c>
      <c r="BG20" s="355">
        <f t="shared" si="12"/>
        <v>10.466666666666667</v>
      </c>
      <c r="BH20" s="355">
        <f t="shared" si="12"/>
        <v>0</v>
      </c>
      <c r="BI20" s="355">
        <v>0</v>
      </c>
      <c r="BJ20" s="355">
        <f t="shared" si="12"/>
        <v>6.166666666666667</v>
      </c>
      <c r="BK20" s="355">
        <f t="shared" si="12"/>
        <v>5</v>
      </c>
      <c r="BL20" s="355">
        <f t="shared" si="12"/>
        <v>5.1428571428571432</v>
      </c>
      <c r="BM20" s="355">
        <f t="shared" si="12"/>
        <v>5.4545454545454541</v>
      </c>
      <c r="BN20" s="355">
        <f t="shared" si="12"/>
        <v>8.5714285714285712</v>
      </c>
      <c r="BO20" s="355">
        <f t="shared" si="12"/>
        <v>8.5714285714285712</v>
      </c>
      <c r="BP20" s="355">
        <f t="shared" si="12"/>
        <v>7</v>
      </c>
      <c r="BQ20" s="355">
        <f t="shared" si="12"/>
        <v>6.4</v>
      </c>
      <c r="BR20" s="355">
        <f t="shared" ref="BR20:DA20" si="13">BR21/BR16</f>
        <v>5.333333333333333</v>
      </c>
      <c r="BS20" s="355">
        <f t="shared" si="13"/>
        <v>5.1428571428571432</v>
      </c>
      <c r="BT20" s="355">
        <f t="shared" si="13"/>
        <v>5.333333333333333</v>
      </c>
      <c r="BU20" s="355">
        <f t="shared" si="13"/>
        <v>4.5714285714285712</v>
      </c>
      <c r="BV20" s="355">
        <f t="shared" si="13"/>
        <v>5.666666666666667</v>
      </c>
      <c r="BW20" s="355">
        <f t="shared" si="13"/>
        <v>4.666666666666667</v>
      </c>
      <c r="BX20" s="355">
        <v>0</v>
      </c>
      <c r="BY20" s="355">
        <v>0</v>
      </c>
      <c r="BZ20" s="355">
        <f t="shared" si="13"/>
        <v>3</v>
      </c>
      <c r="CA20" s="355">
        <f t="shared" si="13"/>
        <v>4</v>
      </c>
      <c r="CB20" s="355">
        <f t="shared" si="13"/>
        <v>1.1153846153846154</v>
      </c>
      <c r="CC20" s="355">
        <f t="shared" si="13"/>
        <v>5</v>
      </c>
      <c r="CD20" s="355">
        <f t="shared" si="13"/>
        <v>1.6582278481012658</v>
      </c>
      <c r="CE20" s="355">
        <f t="shared" si="13"/>
        <v>1.8285714285714285</v>
      </c>
      <c r="CF20" s="355">
        <f t="shared" si="13"/>
        <v>4.7317073170731705</v>
      </c>
      <c r="CG20" s="355">
        <f t="shared" si="13"/>
        <v>3.7714285714285714</v>
      </c>
      <c r="CH20" s="355">
        <f t="shared" si="13"/>
        <v>2.2380952380952381</v>
      </c>
      <c r="CI20" s="355">
        <f t="shared" si="13"/>
        <v>2.2672413793103448</v>
      </c>
      <c r="CJ20" s="355">
        <f t="shared" si="13"/>
        <v>1.58</v>
      </c>
      <c r="CK20" s="355">
        <v>0</v>
      </c>
      <c r="CL20" s="355">
        <v>0</v>
      </c>
      <c r="CM20" s="355">
        <f t="shared" si="13"/>
        <v>1.6153846153846154</v>
      </c>
      <c r="CN20" s="355">
        <f t="shared" si="13"/>
        <v>1.5</v>
      </c>
      <c r="CO20" s="355">
        <f t="shared" si="13"/>
        <v>1.8333333333333333</v>
      </c>
      <c r="CP20" s="355">
        <f t="shared" si="13"/>
        <v>1.6666666666666667</v>
      </c>
      <c r="CQ20" s="355">
        <f t="shared" si="13"/>
        <v>1.421875</v>
      </c>
      <c r="CR20" s="355">
        <f t="shared" si="13"/>
        <v>8.2162162162162158</v>
      </c>
      <c r="CS20" s="355">
        <f t="shared" si="13"/>
        <v>2.2799999999999998</v>
      </c>
      <c r="CT20" s="436">
        <f t="shared" si="13"/>
        <v>3.5238095238095237</v>
      </c>
      <c r="CU20" s="436">
        <f t="shared" si="13"/>
        <v>5.384615384615385</v>
      </c>
      <c r="CV20" s="436">
        <f t="shared" si="13"/>
        <v>3.0833333333333335</v>
      </c>
      <c r="CW20" s="355">
        <f t="shared" si="13"/>
        <v>8</v>
      </c>
      <c r="CX20" s="355">
        <f t="shared" si="13"/>
        <v>7.024390243902439</v>
      </c>
      <c r="CY20" s="355">
        <f t="shared" si="13"/>
        <v>8</v>
      </c>
      <c r="CZ20" s="355">
        <f t="shared" si="13"/>
        <v>7.1111111111111107</v>
      </c>
      <c r="DA20" s="355">
        <f t="shared" si="13"/>
        <v>9.6</v>
      </c>
    </row>
    <row r="21" spans="1:105" s="353" customFormat="1" x14ac:dyDescent="0.2">
      <c r="A21" s="355"/>
      <c r="B21" s="386" t="s">
        <v>344</v>
      </c>
      <c r="C21" s="354"/>
      <c r="D21" s="378"/>
      <c r="E21" s="355">
        <f>SUM(E22:E64)</f>
        <v>255</v>
      </c>
      <c r="F21" s="355">
        <f>SUM(F22:F64)</f>
        <v>798</v>
      </c>
      <c r="G21" s="355">
        <f>SUM(G22:G64)</f>
        <v>38</v>
      </c>
      <c r="H21" s="355">
        <f>H19</f>
        <v>0</v>
      </c>
      <c r="I21" s="355">
        <f t="shared" ref="I21:AN21" si="14">SUM(I22:I64)</f>
        <v>52</v>
      </c>
      <c r="J21" s="355">
        <f t="shared" si="14"/>
        <v>88</v>
      </c>
      <c r="K21" s="355">
        <f t="shared" si="14"/>
        <v>412</v>
      </c>
      <c r="L21" s="355">
        <f t="shared" si="14"/>
        <v>48</v>
      </c>
      <c r="M21" s="355">
        <f t="shared" si="14"/>
        <v>0</v>
      </c>
      <c r="N21" s="355">
        <f t="shared" si="14"/>
        <v>0</v>
      </c>
      <c r="O21" s="355">
        <f t="shared" si="14"/>
        <v>57</v>
      </c>
      <c r="P21" s="355">
        <f t="shared" si="14"/>
        <v>102</v>
      </c>
      <c r="Q21" s="355">
        <f t="shared" si="14"/>
        <v>21</v>
      </c>
      <c r="R21" s="355">
        <f t="shared" si="14"/>
        <v>47</v>
      </c>
      <c r="S21" s="355">
        <f t="shared" si="14"/>
        <v>0</v>
      </c>
      <c r="T21" s="355">
        <f t="shared" si="14"/>
        <v>20</v>
      </c>
      <c r="U21" s="355">
        <f t="shared" si="14"/>
        <v>16</v>
      </c>
      <c r="V21" s="355">
        <f t="shared" si="14"/>
        <v>67</v>
      </c>
      <c r="W21" s="355">
        <f t="shared" si="14"/>
        <v>119</v>
      </c>
      <c r="X21" s="355">
        <f t="shared" si="14"/>
        <v>63</v>
      </c>
      <c r="Y21" s="355">
        <f t="shared" si="14"/>
        <v>107</v>
      </c>
      <c r="Z21" s="355">
        <f t="shared" si="14"/>
        <v>52</v>
      </c>
      <c r="AA21" s="355">
        <f t="shared" si="14"/>
        <v>42</v>
      </c>
      <c r="AB21" s="355">
        <f t="shared" si="14"/>
        <v>181</v>
      </c>
      <c r="AC21" s="355">
        <f t="shared" si="14"/>
        <v>109</v>
      </c>
      <c r="AD21" s="355">
        <f t="shared" si="14"/>
        <v>0</v>
      </c>
      <c r="AE21" s="355">
        <f t="shared" si="14"/>
        <v>0</v>
      </c>
      <c r="AF21" s="355">
        <f t="shared" si="14"/>
        <v>80</v>
      </c>
      <c r="AG21" s="355">
        <f t="shared" si="14"/>
        <v>0</v>
      </c>
      <c r="AH21" s="355">
        <f t="shared" si="14"/>
        <v>0</v>
      </c>
      <c r="AI21" s="355">
        <f t="shared" si="14"/>
        <v>0</v>
      </c>
      <c r="AJ21" s="355">
        <f t="shared" si="14"/>
        <v>0</v>
      </c>
      <c r="AK21" s="355">
        <f t="shared" si="14"/>
        <v>29</v>
      </c>
      <c r="AL21" s="355">
        <f t="shared" si="14"/>
        <v>50</v>
      </c>
      <c r="AM21" s="355">
        <f t="shared" si="14"/>
        <v>75</v>
      </c>
      <c r="AN21" s="355">
        <f t="shared" si="14"/>
        <v>80</v>
      </c>
      <c r="AO21" s="355">
        <f t="shared" ref="AO21:BT21" si="15">SUM(AO22:AO64)</f>
        <v>40</v>
      </c>
      <c r="AP21" s="355">
        <f t="shared" si="15"/>
        <v>48</v>
      </c>
      <c r="AQ21" s="355">
        <f t="shared" si="15"/>
        <v>31</v>
      </c>
      <c r="AR21" s="355">
        <f t="shared" si="15"/>
        <v>79</v>
      </c>
      <c r="AS21" s="355">
        <f t="shared" si="15"/>
        <v>81</v>
      </c>
      <c r="AT21" s="355">
        <f t="shared" si="15"/>
        <v>9</v>
      </c>
      <c r="AU21" s="355">
        <f t="shared" si="15"/>
        <v>0</v>
      </c>
      <c r="AV21" s="355">
        <f t="shared" si="15"/>
        <v>0</v>
      </c>
      <c r="AW21" s="355">
        <f t="shared" si="15"/>
        <v>37</v>
      </c>
      <c r="AX21" s="355">
        <f t="shared" si="15"/>
        <v>0</v>
      </c>
      <c r="AY21" s="355">
        <f t="shared" si="15"/>
        <v>108</v>
      </c>
      <c r="AZ21" s="355">
        <f t="shared" si="15"/>
        <v>58</v>
      </c>
      <c r="BA21" s="355">
        <f t="shared" si="15"/>
        <v>57</v>
      </c>
      <c r="BB21" s="355">
        <f t="shared" si="15"/>
        <v>10</v>
      </c>
      <c r="BC21" s="355">
        <f t="shared" si="15"/>
        <v>48</v>
      </c>
      <c r="BD21" s="355">
        <f t="shared" si="15"/>
        <v>129</v>
      </c>
      <c r="BE21" s="355">
        <f t="shared" si="15"/>
        <v>141</v>
      </c>
      <c r="BF21" s="355">
        <f t="shared" si="15"/>
        <v>197</v>
      </c>
      <c r="BG21" s="355">
        <f t="shared" si="15"/>
        <v>157</v>
      </c>
      <c r="BH21" s="355">
        <f t="shared" si="15"/>
        <v>0</v>
      </c>
      <c r="BI21" s="355">
        <f t="shared" si="15"/>
        <v>0</v>
      </c>
      <c r="BJ21" s="355">
        <f t="shared" si="15"/>
        <v>37</v>
      </c>
      <c r="BK21" s="355">
        <f t="shared" si="15"/>
        <v>20</v>
      </c>
      <c r="BL21" s="355">
        <f t="shared" si="15"/>
        <v>18</v>
      </c>
      <c r="BM21" s="355">
        <f t="shared" si="15"/>
        <v>30</v>
      </c>
      <c r="BN21" s="355">
        <f t="shared" si="15"/>
        <v>30</v>
      </c>
      <c r="BO21" s="355">
        <f t="shared" si="15"/>
        <v>30</v>
      </c>
      <c r="BP21" s="355">
        <f t="shared" si="15"/>
        <v>21</v>
      </c>
      <c r="BQ21" s="355">
        <f t="shared" si="15"/>
        <v>32</v>
      </c>
      <c r="BR21" s="355">
        <f t="shared" si="15"/>
        <v>32</v>
      </c>
      <c r="BS21" s="355">
        <f t="shared" si="15"/>
        <v>36</v>
      </c>
      <c r="BT21" s="355">
        <f t="shared" si="15"/>
        <v>32</v>
      </c>
      <c r="BU21" s="355">
        <f t="shared" ref="BU21:CZ21" si="16">SUM(BU22:BU64)</f>
        <v>32</v>
      </c>
      <c r="BV21" s="355">
        <f t="shared" si="16"/>
        <v>68</v>
      </c>
      <c r="BW21" s="355">
        <f t="shared" si="16"/>
        <v>28</v>
      </c>
      <c r="BX21" s="355">
        <f t="shared" si="16"/>
        <v>0</v>
      </c>
      <c r="BY21" s="355">
        <f t="shared" si="16"/>
        <v>0</v>
      </c>
      <c r="BZ21" s="355">
        <f t="shared" si="16"/>
        <v>6</v>
      </c>
      <c r="CA21" s="355">
        <f t="shared" si="16"/>
        <v>8</v>
      </c>
      <c r="CB21" s="355">
        <f t="shared" si="16"/>
        <v>29</v>
      </c>
      <c r="CC21" s="355">
        <f t="shared" si="16"/>
        <v>50</v>
      </c>
      <c r="CD21" s="355">
        <f t="shared" si="16"/>
        <v>131</v>
      </c>
      <c r="CE21" s="355">
        <f t="shared" si="16"/>
        <v>64</v>
      </c>
      <c r="CF21" s="355">
        <f t="shared" si="16"/>
        <v>388</v>
      </c>
      <c r="CG21" s="355">
        <f t="shared" si="16"/>
        <v>132</v>
      </c>
      <c r="CH21" s="355">
        <f t="shared" si="16"/>
        <v>94</v>
      </c>
      <c r="CI21" s="355">
        <f t="shared" si="16"/>
        <v>263</v>
      </c>
      <c r="CJ21" s="355">
        <f t="shared" si="16"/>
        <v>79</v>
      </c>
      <c r="CK21" s="355">
        <f t="shared" si="16"/>
        <v>0</v>
      </c>
      <c r="CL21" s="355">
        <f t="shared" si="16"/>
        <v>0</v>
      </c>
      <c r="CM21" s="355">
        <f t="shared" si="16"/>
        <v>105</v>
      </c>
      <c r="CN21" s="355">
        <f t="shared" si="16"/>
        <v>30</v>
      </c>
      <c r="CO21" s="355">
        <f t="shared" si="16"/>
        <v>44</v>
      </c>
      <c r="CP21" s="355">
        <f t="shared" si="16"/>
        <v>30</v>
      </c>
      <c r="CQ21" s="355">
        <f t="shared" si="16"/>
        <v>91</v>
      </c>
      <c r="CR21" s="355">
        <f t="shared" si="16"/>
        <v>304</v>
      </c>
      <c r="CS21" s="355">
        <f t="shared" si="16"/>
        <v>57</v>
      </c>
      <c r="CT21" s="436">
        <f t="shared" si="16"/>
        <v>74</v>
      </c>
      <c r="CU21" s="436">
        <f t="shared" si="16"/>
        <v>140</v>
      </c>
      <c r="CV21" s="436">
        <f t="shared" si="16"/>
        <v>111</v>
      </c>
      <c r="CW21" s="355">
        <f t="shared" si="16"/>
        <v>104</v>
      </c>
      <c r="CX21" s="355">
        <f t="shared" si="16"/>
        <v>288</v>
      </c>
      <c r="CY21" s="355">
        <f t="shared" si="16"/>
        <v>32</v>
      </c>
      <c r="CZ21" s="355">
        <f t="shared" si="16"/>
        <v>64</v>
      </c>
      <c r="DA21" s="355">
        <f t="shared" ref="DA21" si="17">SUM(DA22:DA64)</f>
        <v>192</v>
      </c>
    </row>
    <row r="22" spans="1:105" s="353" customFormat="1" x14ac:dyDescent="0.2">
      <c r="A22" s="355"/>
      <c r="B22" s="354"/>
      <c r="C22" s="354"/>
      <c r="D22" s="355" t="s">
        <v>6</v>
      </c>
      <c r="E22" s="355" t="s">
        <v>215</v>
      </c>
      <c r="F22" s="355" t="s">
        <v>215</v>
      </c>
      <c r="G22" s="355" t="s">
        <v>215</v>
      </c>
      <c r="H22" s="355" t="s">
        <v>215</v>
      </c>
      <c r="I22" s="355" t="s">
        <v>215</v>
      </c>
      <c r="J22" s="355" t="s">
        <v>215</v>
      </c>
      <c r="K22" s="355" t="s">
        <v>215</v>
      </c>
      <c r="L22" s="355" t="s">
        <v>215</v>
      </c>
      <c r="M22" s="355" t="s">
        <v>215</v>
      </c>
      <c r="N22" s="355" t="s">
        <v>215</v>
      </c>
      <c r="O22" s="355" t="s">
        <v>215</v>
      </c>
      <c r="P22" s="355" t="s">
        <v>215</v>
      </c>
      <c r="Q22" s="355" t="s">
        <v>215</v>
      </c>
      <c r="R22" s="355" t="s">
        <v>215</v>
      </c>
      <c r="S22" s="355" t="s">
        <v>215</v>
      </c>
      <c r="T22" s="355" t="s">
        <v>215</v>
      </c>
      <c r="U22" s="355" t="s">
        <v>215</v>
      </c>
      <c r="V22" s="355" t="s">
        <v>215</v>
      </c>
      <c r="W22" s="355" t="s">
        <v>215</v>
      </c>
      <c r="X22" s="355" t="s">
        <v>215</v>
      </c>
      <c r="Y22" s="355" t="s">
        <v>215</v>
      </c>
      <c r="Z22" s="355" t="s">
        <v>215</v>
      </c>
      <c r="AA22" s="355" t="s">
        <v>215</v>
      </c>
      <c r="AB22" s="355" t="s">
        <v>215</v>
      </c>
      <c r="AC22" s="355" t="s">
        <v>215</v>
      </c>
      <c r="AD22" s="355" t="s">
        <v>215</v>
      </c>
      <c r="AE22" s="355" t="s">
        <v>215</v>
      </c>
      <c r="AF22" s="355" t="s">
        <v>215</v>
      </c>
      <c r="AG22" s="355" t="s">
        <v>215</v>
      </c>
      <c r="AH22" s="355" t="s">
        <v>215</v>
      </c>
      <c r="AI22" s="355" t="s">
        <v>215</v>
      </c>
      <c r="AJ22" s="355" t="s">
        <v>215</v>
      </c>
      <c r="AK22" s="355" t="s">
        <v>215</v>
      </c>
      <c r="AL22" s="355" t="s">
        <v>215</v>
      </c>
      <c r="AM22" s="355" t="s">
        <v>215</v>
      </c>
      <c r="AN22" s="355" t="s">
        <v>215</v>
      </c>
      <c r="AO22" s="355" t="s">
        <v>215</v>
      </c>
      <c r="AP22" s="355" t="s">
        <v>215</v>
      </c>
      <c r="AQ22" s="355" t="s">
        <v>215</v>
      </c>
      <c r="AR22" s="355" t="s">
        <v>215</v>
      </c>
      <c r="AS22" s="355" t="s">
        <v>215</v>
      </c>
      <c r="AT22" s="355" t="s">
        <v>215</v>
      </c>
      <c r="AU22" s="355" t="s">
        <v>215</v>
      </c>
      <c r="AV22" s="355" t="s">
        <v>215</v>
      </c>
      <c r="AW22" s="355" t="s">
        <v>215</v>
      </c>
      <c r="AX22" s="355" t="s">
        <v>215</v>
      </c>
      <c r="AY22" s="355" t="s">
        <v>215</v>
      </c>
      <c r="AZ22" s="355" t="s">
        <v>215</v>
      </c>
      <c r="BA22" s="355" t="s">
        <v>215</v>
      </c>
      <c r="BB22" s="355" t="s">
        <v>215</v>
      </c>
      <c r="BC22" s="355" t="s">
        <v>215</v>
      </c>
      <c r="BD22" s="355" t="s">
        <v>215</v>
      </c>
      <c r="BE22" s="355" t="s">
        <v>215</v>
      </c>
      <c r="BF22" s="355" t="s">
        <v>215</v>
      </c>
      <c r="BG22" s="355" t="s">
        <v>215</v>
      </c>
      <c r="BH22" s="355" t="s">
        <v>215</v>
      </c>
      <c r="BI22" s="355" t="s">
        <v>215</v>
      </c>
      <c r="BJ22" s="355" t="s">
        <v>215</v>
      </c>
      <c r="BK22" s="355" t="s">
        <v>215</v>
      </c>
      <c r="BL22" s="355" t="s">
        <v>215</v>
      </c>
      <c r="BM22" s="355" t="s">
        <v>215</v>
      </c>
      <c r="BN22" s="355" t="s">
        <v>215</v>
      </c>
      <c r="BO22" s="355" t="s">
        <v>215</v>
      </c>
      <c r="BP22" s="355" t="s">
        <v>215</v>
      </c>
      <c r="BQ22" s="355" t="s">
        <v>215</v>
      </c>
      <c r="BR22" s="355" t="s">
        <v>215</v>
      </c>
      <c r="BS22" s="355" t="s">
        <v>215</v>
      </c>
      <c r="BT22" s="355" t="s">
        <v>215</v>
      </c>
      <c r="BU22" s="355" t="s">
        <v>215</v>
      </c>
      <c r="BV22" s="355" t="s">
        <v>215</v>
      </c>
      <c r="BW22" s="355" t="s">
        <v>215</v>
      </c>
      <c r="BX22" s="355" t="s">
        <v>215</v>
      </c>
      <c r="BY22" s="355" t="s">
        <v>215</v>
      </c>
      <c r="BZ22" s="355" t="s">
        <v>215</v>
      </c>
      <c r="CA22" s="355" t="s">
        <v>215</v>
      </c>
      <c r="CB22" s="355" t="s">
        <v>215</v>
      </c>
      <c r="CC22" s="355" t="s">
        <v>215</v>
      </c>
      <c r="CD22" s="355" t="s">
        <v>215</v>
      </c>
      <c r="CE22" s="355" t="s">
        <v>215</v>
      </c>
      <c r="CF22" s="355" t="s">
        <v>215</v>
      </c>
      <c r="CG22" s="355" t="s">
        <v>215</v>
      </c>
      <c r="CH22" s="355" t="s">
        <v>215</v>
      </c>
      <c r="CI22" s="355" t="s">
        <v>215</v>
      </c>
      <c r="CJ22" s="355" t="s">
        <v>215</v>
      </c>
      <c r="CK22" s="355" t="s">
        <v>215</v>
      </c>
      <c r="CL22" s="355" t="s">
        <v>215</v>
      </c>
      <c r="CM22" s="355" t="s">
        <v>215</v>
      </c>
      <c r="CN22" s="355" t="s">
        <v>215</v>
      </c>
      <c r="CO22" s="355" t="s">
        <v>215</v>
      </c>
      <c r="CP22" s="355" t="s">
        <v>215</v>
      </c>
      <c r="CQ22" s="355" t="s">
        <v>215</v>
      </c>
      <c r="CR22" s="355" t="s">
        <v>215</v>
      </c>
      <c r="CS22" s="355" t="s">
        <v>215</v>
      </c>
      <c r="CT22" s="436" t="s">
        <v>215</v>
      </c>
      <c r="CU22" s="436" t="s">
        <v>215</v>
      </c>
      <c r="CV22" s="436" t="s">
        <v>215</v>
      </c>
      <c r="CW22" s="355" t="s">
        <v>215</v>
      </c>
      <c r="CX22" s="355" t="s">
        <v>215</v>
      </c>
      <c r="CY22" s="355" t="s">
        <v>215</v>
      </c>
      <c r="CZ22" s="355" t="s">
        <v>215</v>
      </c>
      <c r="DA22" s="355" t="s">
        <v>215</v>
      </c>
    </row>
    <row r="23" spans="1:105" s="353" customFormat="1" x14ac:dyDescent="0.2">
      <c r="A23" s="355"/>
      <c r="B23" s="354" t="s">
        <v>347</v>
      </c>
      <c r="C23" s="354"/>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436"/>
      <c r="CU23" s="436"/>
      <c r="CV23" s="436"/>
      <c r="CW23" s="355"/>
      <c r="CX23" s="355"/>
      <c r="CY23" s="355"/>
      <c r="CZ23" s="355"/>
      <c r="DA23" s="355"/>
    </row>
    <row r="24" spans="1:105" s="353" customFormat="1" x14ac:dyDescent="0.2">
      <c r="A24" s="355" t="s">
        <v>15</v>
      </c>
      <c r="B24" s="354" t="s">
        <v>195</v>
      </c>
      <c r="C24" s="354" t="s">
        <v>104</v>
      </c>
      <c r="D24" s="355">
        <f>SUM(E24:DA24)</f>
        <v>1411</v>
      </c>
      <c r="E24" s="355"/>
      <c r="F24" s="355">
        <f>31*7</f>
        <v>217</v>
      </c>
      <c r="G24" s="355">
        <v>7</v>
      </c>
      <c r="H24" s="355">
        <v>7</v>
      </c>
      <c r="I24" s="355">
        <v>14</v>
      </c>
      <c r="J24" s="355">
        <f>7*4</f>
        <v>28</v>
      </c>
      <c r="K24" s="355">
        <f>7*24</f>
        <v>168</v>
      </c>
      <c r="L24" s="355">
        <f>7*3</f>
        <v>21</v>
      </c>
      <c r="M24" s="355"/>
      <c r="N24" s="355"/>
      <c r="O24" s="355">
        <f>6*2</f>
        <v>12</v>
      </c>
      <c r="P24" s="355">
        <f>6*3</f>
        <v>18</v>
      </c>
      <c r="Q24" s="355"/>
      <c r="R24" s="355"/>
      <c r="S24" s="355"/>
      <c r="T24" s="355"/>
      <c r="U24" s="355"/>
      <c r="V24" s="355"/>
      <c r="W24" s="355"/>
      <c r="X24" s="355">
        <f>7*4</f>
        <v>28</v>
      </c>
      <c r="Y24" s="355">
        <f>7*8</f>
        <v>56</v>
      </c>
      <c r="Z24" s="355">
        <f>7*4</f>
        <v>28</v>
      </c>
      <c r="AA24" s="355">
        <f>7*3</f>
        <v>21</v>
      </c>
      <c r="AB24" s="355"/>
      <c r="AC24" s="355"/>
      <c r="AD24" s="355"/>
      <c r="AE24" s="355"/>
      <c r="AF24" s="355"/>
      <c r="AG24" s="355"/>
      <c r="AH24" s="355"/>
      <c r="AI24" s="355"/>
      <c r="AJ24" s="355"/>
      <c r="AK24" s="355"/>
      <c r="AL24" s="355"/>
      <c r="AM24" s="355"/>
      <c r="AN24" s="355"/>
      <c r="AO24" s="355"/>
      <c r="AP24" s="355">
        <v>7</v>
      </c>
      <c r="AQ24" s="355">
        <v>7</v>
      </c>
      <c r="AR24" s="355">
        <v>32</v>
      </c>
      <c r="AS24" s="355">
        <v>56</v>
      </c>
      <c r="AT24" s="355">
        <v>7</v>
      </c>
      <c r="AU24" s="355"/>
      <c r="AV24" s="355"/>
      <c r="AW24" s="355">
        <v>18</v>
      </c>
      <c r="AX24" s="355"/>
      <c r="AY24" s="355">
        <v>30</v>
      </c>
      <c r="AZ24" s="355">
        <v>12</v>
      </c>
      <c r="BA24" s="355"/>
      <c r="BB24" s="355"/>
      <c r="BC24" s="355">
        <v>18</v>
      </c>
      <c r="BD24" s="355">
        <v>36</v>
      </c>
      <c r="BE24" s="355">
        <v>48</v>
      </c>
      <c r="BF24" s="355">
        <f>12*5</f>
        <v>60</v>
      </c>
      <c r="BG24" s="355">
        <v>48</v>
      </c>
      <c r="BH24" s="355"/>
      <c r="BI24" s="355"/>
      <c r="BJ24" s="355">
        <v>12</v>
      </c>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v>203</v>
      </c>
      <c r="CG24" s="355">
        <v>56</v>
      </c>
      <c r="CH24" s="355"/>
      <c r="CI24" s="355">
        <v>36</v>
      </c>
      <c r="CJ24" s="355"/>
      <c r="CK24" s="355"/>
      <c r="CL24" s="355"/>
      <c r="CM24" s="355"/>
      <c r="CN24" s="355"/>
      <c r="CO24" s="355"/>
      <c r="CP24" s="355"/>
      <c r="CQ24" s="355"/>
      <c r="CR24" s="355"/>
      <c r="CS24" s="355"/>
      <c r="CT24" s="436">
        <v>40</v>
      </c>
      <c r="CU24" s="436"/>
      <c r="CV24" s="436">
        <v>60</v>
      </c>
      <c r="CW24" s="355"/>
      <c r="CX24" s="355"/>
      <c r="CY24" s="355"/>
      <c r="CZ24" s="355"/>
      <c r="DA24" s="355"/>
    </row>
    <row r="25" spans="1:105" x14ac:dyDescent="0.2">
      <c r="A25" s="357" t="s">
        <v>19</v>
      </c>
      <c r="B25" s="356" t="s">
        <v>21</v>
      </c>
      <c r="C25" s="356" t="s">
        <v>104</v>
      </c>
      <c r="D25" s="355">
        <f>SUM(E25:DA25)</f>
        <v>156</v>
      </c>
      <c r="E25" s="357">
        <f>9*4</f>
        <v>36</v>
      </c>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v>4</v>
      </c>
      <c r="AL25" s="357">
        <v>8</v>
      </c>
      <c r="AM25" s="357">
        <v>12</v>
      </c>
      <c r="AN25" s="357"/>
      <c r="AO25" s="357"/>
      <c r="AP25" s="357"/>
      <c r="AQ25" s="357"/>
      <c r="AR25" s="357"/>
      <c r="AS25" s="357"/>
      <c r="AT25" s="357"/>
      <c r="AU25" s="357"/>
      <c r="AV25" s="357"/>
      <c r="AW25" s="357"/>
      <c r="AX25" s="357"/>
      <c r="AY25" s="357"/>
      <c r="AZ25" s="357"/>
      <c r="BA25" s="357">
        <v>12</v>
      </c>
      <c r="BB25" s="357"/>
      <c r="BC25" s="357"/>
      <c r="BD25" s="357"/>
      <c r="BE25" s="357">
        <v>24</v>
      </c>
      <c r="BF25" s="357">
        <v>30</v>
      </c>
      <c r="BG25" s="357">
        <v>24</v>
      </c>
      <c r="BH25" s="357"/>
      <c r="BI25" s="357"/>
      <c r="BJ25" s="357">
        <v>6</v>
      </c>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438"/>
      <c r="CU25" s="438"/>
      <c r="CV25" s="438"/>
      <c r="CW25" s="357"/>
      <c r="CX25" s="357"/>
      <c r="CY25" s="357"/>
      <c r="CZ25" s="357"/>
      <c r="DA25" s="357"/>
    </row>
    <row r="26" spans="1:105" s="353" customFormat="1" x14ac:dyDescent="0.2">
      <c r="A26" s="355" t="s">
        <v>13</v>
      </c>
      <c r="B26" s="354" t="s">
        <v>353</v>
      </c>
      <c r="C26" s="356" t="s">
        <v>104</v>
      </c>
      <c r="D26" s="355">
        <f>SUM(E26:DA26)</f>
        <v>688</v>
      </c>
      <c r="E26" s="355">
        <f>8*4+5+12</f>
        <v>49</v>
      </c>
      <c r="F26" s="355">
        <f>7*31+12</f>
        <v>229</v>
      </c>
      <c r="G26" s="355">
        <v>3</v>
      </c>
      <c r="H26" s="355">
        <v>3</v>
      </c>
      <c r="I26" s="355">
        <v>20</v>
      </c>
      <c r="J26" s="355">
        <v>28</v>
      </c>
      <c r="K26" s="355">
        <f>1*24</f>
        <v>24</v>
      </c>
      <c r="L26" s="355">
        <f>1*3</f>
        <v>3</v>
      </c>
      <c r="M26" s="355"/>
      <c r="N26" s="355"/>
      <c r="O26" s="355">
        <f>3*2</f>
        <v>6</v>
      </c>
      <c r="P26" s="355">
        <f>3*3+3</f>
        <v>12</v>
      </c>
      <c r="Q26" s="355">
        <v>9</v>
      </c>
      <c r="R26" s="355">
        <v>6</v>
      </c>
      <c r="S26" s="355"/>
      <c r="T26" s="355"/>
      <c r="U26" s="355">
        <v>6</v>
      </c>
      <c r="V26" s="355"/>
      <c r="W26" s="355"/>
      <c r="X26" s="355">
        <v>7</v>
      </c>
      <c r="Y26" s="355">
        <f>1*8+3</f>
        <v>11</v>
      </c>
      <c r="Z26" s="355">
        <f>1*4</f>
        <v>4</v>
      </c>
      <c r="AA26" s="355">
        <f>1*3</f>
        <v>3</v>
      </c>
      <c r="AB26" s="355"/>
      <c r="AC26" s="355">
        <v>16</v>
      </c>
      <c r="AD26" s="355"/>
      <c r="AE26" s="355"/>
      <c r="AF26" s="355"/>
      <c r="AG26" s="355"/>
      <c r="AH26" s="355"/>
      <c r="AI26" s="355"/>
      <c r="AJ26" s="355"/>
      <c r="AK26" s="355"/>
      <c r="AL26" s="355"/>
      <c r="AM26" s="355"/>
      <c r="AN26" s="355"/>
      <c r="AO26" s="355"/>
      <c r="AP26" s="355">
        <v>6</v>
      </c>
      <c r="AQ26" s="355">
        <v>6</v>
      </c>
      <c r="AR26" s="355"/>
      <c r="AS26" s="355">
        <v>6</v>
      </c>
      <c r="AT26" s="355"/>
      <c r="AU26" s="355"/>
      <c r="AV26" s="355"/>
      <c r="AW26" s="355"/>
      <c r="AX26" s="355"/>
      <c r="AY26" s="355">
        <f>15+6+12</f>
        <v>33</v>
      </c>
      <c r="AZ26" s="355">
        <v>9</v>
      </c>
      <c r="BA26" s="355">
        <v>6</v>
      </c>
      <c r="BB26" s="355">
        <v>4</v>
      </c>
      <c r="BC26" s="355">
        <v>6</v>
      </c>
      <c r="BD26" s="355">
        <v>12</v>
      </c>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v>61</v>
      </c>
      <c r="CG26" s="355">
        <v>28</v>
      </c>
      <c r="CH26" s="355">
        <v>24</v>
      </c>
      <c r="CI26" s="355">
        <v>48</v>
      </c>
      <c r="CJ26" s="355"/>
      <c r="CK26" s="355"/>
      <c r="CL26" s="355"/>
      <c r="CM26" s="355"/>
      <c r="CN26" s="355"/>
      <c r="CO26" s="355"/>
      <c r="CP26" s="355"/>
      <c r="CQ26" s="355"/>
      <c r="CR26" s="355"/>
      <c r="CS26" s="355"/>
      <c r="CT26" s="436"/>
      <c r="CU26" s="436"/>
      <c r="CV26" s="436"/>
      <c r="CW26" s="355"/>
      <c r="CX26" s="355"/>
      <c r="CY26" s="355"/>
      <c r="CZ26" s="355"/>
      <c r="DA26" s="355"/>
    </row>
    <row r="27" spans="1:105" s="353" customFormat="1" x14ac:dyDescent="0.2">
      <c r="A27" s="355" t="s">
        <v>112</v>
      </c>
      <c r="B27" s="354" t="s">
        <v>113</v>
      </c>
      <c r="C27" s="356" t="s">
        <v>104</v>
      </c>
      <c r="D27" s="355">
        <f>SUM(E27:DA27)</f>
        <v>128</v>
      </c>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v>42</v>
      </c>
      <c r="CN27" s="355">
        <v>12</v>
      </c>
      <c r="CO27" s="355">
        <v>18</v>
      </c>
      <c r="CP27" s="355">
        <v>12</v>
      </c>
      <c r="CQ27" s="355">
        <v>39</v>
      </c>
      <c r="CR27" s="355"/>
      <c r="CS27" s="355">
        <v>5</v>
      </c>
      <c r="CT27" s="436"/>
      <c r="CU27" s="436"/>
      <c r="CV27" s="436"/>
      <c r="CW27" s="355"/>
      <c r="CX27" s="355"/>
      <c r="CY27" s="355"/>
      <c r="CZ27" s="355"/>
      <c r="DA27" s="355"/>
    </row>
    <row r="28" spans="1:105" s="353" customFormat="1" x14ac:dyDescent="0.2">
      <c r="A28" s="355" t="s">
        <v>99</v>
      </c>
      <c r="B28" s="354" t="s">
        <v>354</v>
      </c>
      <c r="C28" s="356" t="s">
        <v>104</v>
      </c>
      <c r="D28" s="355">
        <f>SUM(E28:DA28)</f>
        <v>180</v>
      </c>
      <c r="E28" s="355"/>
      <c r="F28" s="355"/>
      <c r="G28" s="355"/>
      <c r="H28" s="355"/>
      <c r="I28" s="355"/>
      <c r="J28" s="355"/>
      <c r="K28" s="355"/>
      <c r="L28" s="355"/>
      <c r="M28" s="355"/>
      <c r="N28" s="355"/>
      <c r="O28" s="355"/>
      <c r="P28" s="355"/>
      <c r="Q28" s="355"/>
      <c r="R28" s="355"/>
      <c r="S28" s="355"/>
      <c r="T28" s="355"/>
      <c r="U28" s="355"/>
      <c r="V28" s="355">
        <v>30</v>
      </c>
      <c r="W28" s="355"/>
      <c r="X28" s="355"/>
      <c r="Y28" s="355"/>
      <c r="Z28" s="355"/>
      <c r="AA28" s="355"/>
      <c r="AB28" s="355">
        <v>51</v>
      </c>
      <c r="AC28" s="355"/>
      <c r="AD28" s="355"/>
      <c r="AE28" s="355"/>
      <c r="AF28" s="355">
        <v>26</v>
      </c>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v>18</v>
      </c>
      <c r="CI28" s="355">
        <v>30</v>
      </c>
      <c r="CJ28" s="355"/>
      <c r="CK28" s="355"/>
      <c r="CL28" s="355"/>
      <c r="CM28" s="355"/>
      <c r="CN28" s="355"/>
      <c r="CO28" s="355"/>
      <c r="CP28" s="355"/>
      <c r="CQ28" s="355"/>
      <c r="CR28" s="355"/>
      <c r="CS28" s="355">
        <v>25</v>
      </c>
      <c r="CT28" s="436"/>
      <c r="CU28" s="436"/>
      <c r="CV28" s="436"/>
      <c r="CW28" s="355"/>
      <c r="CX28" s="355"/>
      <c r="CY28" s="355"/>
      <c r="CZ28" s="355"/>
      <c r="DA28" s="355"/>
    </row>
    <row r="29" spans="1:105" x14ac:dyDescent="0.2">
      <c r="A29" s="357"/>
      <c r="B29" s="372" t="s">
        <v>58</v>
      </c>
      <c r="C29" s="356"/>
      <c r="D29" s="373">
        <f>SUM(D23:D28)</f>
        <v>2563</v>
      </c>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7"/>
      <c r="CO29" s="357"/>
      <c r="CP29" s="357"/>
      <c r="CQ29" s="357"/>
      <c r="CR29" s="357"/>
      <c r="CS29" s="357"/>
      <c r="CT29" s="438"/>
      <c r="CU29" s="438"/>
      <c r="CV29" s="438"/>
      <c r="CW29" s="357"/>
      <c r="CX29" s="357"/>
      <c r="CY29" s="357"/>
      <c r="CZ29" s="357"/>
      <c r="DA29" s="357"/>
    </row>
    <row r="30" spans="1:105" x14ac:dyDescent="0.2">
      <c r="A30" s="357"/>
      <c r="B30" s="356" t="s">
        <v>257</v>
      </c>
      <c r="C30" s="356"/>
      <c r="D30" s="373"/>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c r="CD30" s="357"/>
      <c r="CE30" s="357"/>
      <c r="CF30" s="357"/>
      <c r="CG30" s="357"/>
      <c r="CH30" s="357"/>
      <c r="CI30" s="357"/>
      <c r="CJ30" s="357"/>
      <c r="CK30" s="357"/>
      <c r="CL30" s="357"/>
      <c r="CM30" s="357"/>
      <c r="CN30" s="357"/>
      <c r="CO30" s="357"/>
      <c r="CP30" s="357"/>
      <c r="CQ30" s="357"/>
      <c r="CR30" s="357"/>
      <c r="CS30" s="357"/>
      <c r="CT30" s="438"/>
      <c r="CU30" s="438"/>
      <c r="CV30" s="438"/>
      <c r="CW30" s="357"/>
      <c r="CX30" s="357"/>
      <c r="CY30" s="357"/>
      <c r="CZ30" s="357"/>
      <c r="DA30" s="357"/>
    </row>
    <row r="31" spans="1:105" s="353" customFormat="1" x14ac:dyDescent="0.2">
      <c r="A31" s="355" t="s">
        <v>16</v>
      </c>
      <c r="B31" s="354" t="s">
        <v>204</v>
      </c>
      <c r="C31" s="354" t="s">
        <v>105</v>
      </c>
      <c r="D31" s="355">
        <f t="shared" ref="D31:D39" si="18">SUM(E31:DA31)</f>
        <v>627</v>
      </c>
      <c r="E31" s="355">
        <f>3*4</f>
        <v>12</v>
      </c>
      <c r="F31" s="355">
        <f>3*31</f>
        <v>93</v>
      </c>
      <c r="G31" s="355"/>
      <c r="H31" s="355"/>
      <c r="I31" s="355">
        <v>6</v>
      </c>
      <c r="J31" s="355">
        <f>3*4</f>
        <v>12</v>
      </c>
      <c r="K31" s="355">
        <f>3*24</f>
        <v>72</v>
      </c>
      <c r="L31" s="355">
        <f>3*3</f>
        <v>9</v>
      </c>
      <c r="M31" s="355"/>
      <c r="N31" s="355"/>
      <c r="O31" s="355">
        <f>3*2</f>
        <v>6</v>
      </c>
      <c r="P31" s="355">
        <f>3*3</f>
        <v>9</v>
      </c>
      <c r="Q31" s="355">
        <v>3</v>
      </c>
      <c r="R31" s="355">
        <v>6</v>
      </c>
      <c r="S31" s="355"/>
      <c r="T31" s="355"/>
      <c r="U31" s="355">
        <v>3</v>
      </c>
      <c r="V31" s="355"/>
      <c r="W31" s="355"/>
      <c r="X31" s="355">
        <f>3*4</f>
        <v>12</v>
      </c>
      <c r="Y31" s="355">
        <f>3*8</f>
        <v>24</v>
      </c>
      <c r="Z31" s="355">
        <f>3*4</f>
        <v>12</v>
      </c>
      <c r="AA31" s="355">
        <f>3*3</f>
        <v>9</v>
      </c>
      <c r="AB31" s="355"/>
      <c r="AC31" s="355"/>
      <c r="AD31" s="355"/>
      <c r="AE31" s="355"/>
      <c r="AF31" s="355">
        <v>20</v>
      </c>
      <c r="AG31" s="355"/>
      <c r="AH31" s="355"/>
      <c r="AI31" s="355"/>
      <c r="AJ31" s="355"/>
      <c r="AK31" s="355"/>
      <c r="AL31" s="355"/>
      <c r="AM31" s="355"/>
      <c r="AN31" s="355"/>
      <c r="AO31" s="355"/>
      <c r="AP31" s="355">
        <v>3</v>
      </c>
      <c r="AQ31" s="355">
        <v>3</v>
      </c>
      <c r="AR31" s="355">
        <v>12</v>
      </c>
      <c r="AS31" s="355">
        <v>6</v>
      </c>
      <c r="AT31" s="355">
        <v>1</v>
      </c>
      <c r="AU31" s="355"/>
      <c r="AV31" s="355"/>
      <c r="AW31" s="355">
        <v>6</v>
      </c>
      <c r="AX31" s="355"/>
      <c r="AY31" s="355"/>
      <c r="AZ31" s="355">
        <v>3</v>
      </c>
      <c r="BA31" s="355">
        <v>6</v>
      </c>
      <c r="BB31" s="355">
        <v>3</v>
      </c>
      <c r="BC31" s="355">
        <v>9</v>
      </c>
      <c r="BD31" s="355">
        <v>21</v>
      </c>
      <c r="BE31" s="355">
        <f>9+3</f>
        <v>12</v>
      </c>
      <c r="BF31" s="355">
        <f>3*5</f>
        <v>15</v>
      </c>
      <c r="BG31" s="355">
        <v>12</v>
      </c>
      <c r="BH31" s="355"/>
      <c r="BI31" s="355"/>
      <c r="BJ31" s="355">
        <v>3</v>
      </c>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v>57</v>
      </c>
      <c r="CG31" s="355">
        <v>24</v>
      </c>
      <c r="CH31" s="355">
        <v>18</v>
      </c>
      <c r="CI31" s="355">
        <v>48</v>
      </c>
      <c r="CJ31" s="355">
        <v>18</v>
      </c>
      <c r="CK31" s="355"/>
      <c r="CL31" s="355"/>
      <c r="CM31" s="355"/>
      <c r="CN31" s="355"/>
      <c r="CO31" s="355"/>
      <c r="CP31" s="355"/>
      <c r="CQ31" s="355">
        <v>39</v>
      </c>
      <c r="CR31" s="355"/>
      <c r="CS31" s="355"/>
      <c r="CT31" s="436"/>
      <c r="CU31" s="436"/>
      <c r="CV31" s="436"/>
      <c r="CW31" s="355"/>
      <c r="CX31" s="355"/>
      <c r="CY31" s="355"/>
      <c r="CZ31" s="355"/>
      <c r="DA31" s="355"/>
    </row>
    <row r="32" spans="1:105" s="353" customFormat="1" x14ac:dyDescent="0.2">
      <c r="A32" s="355" t="s">
        <v>30</v>
      </c>
      <c r="B32" s="354" t="s">
        <v>27</v>
      </c>
      <c r="C32" s="354" t="s">
        <v>105</v>
      </c>
      <c r="D32" s="355">
        <f t="shared" si="18"/>
        <v>14</v>
      </c>
      <c r="E32" s="355"/>
      <c r="F32" s="355"/>
      <c r="G32" s="355"/>
      <c r="H32" s="355"/>
      <c r="I32" s="355"/>
      <c r="J32" s="355"/>
      <c r="K32" s="355"/>
      <c r="L32" s="355"/>
      <c r="M32" s="355"/>
      <c r="N32" s="355"/>
      <c r="O32" s="355"/>
      <c r="P32" s="355"/>
      <c r="Q32" s="355">
        <v>3</v>
      </c>
      <c r="R32" s="355">
        <v>8</v>
      </c>
      <c r="S32" s="355"/>
      <c r="T32" s="355"/>
      <c r="U32" s="355">
        <v>3</v>
      </c>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436"/>
      <c r="CU32" s="436"/>
      <c r="CV32" s="436"/>
      <c r="CW32" s="355"/>
      <c r="CX32" s="355"/>
      <c r="CY32" s="355"/>
      <c r="CZ32" s="355"/>
      <c r="DA32" s="355"/>
    </row>
    <row r="33" spans="1:105" s="353" customFormat="1" x14ac:dyDescent="0.2">
      <c r="A33" s="355" t="s">
        <v>18</v>
      </c>
      <c r="B33" s="354" t="s">
        <v>205</v>
      </c>
      <c r="C33" s="354" t="s">
        <v>105</v>
      </c>
      <c r="D33" s="355">
        <f t="shared" si="18"/>
        <v>490</v>
      </c>
      <c r="E33" s="355"/>
      <c r="F33" s="355">
        <f>31*2</f>
        <v>62</v>
      </c>
      <c r="G33" s="355"/>
      <c r="H33" s="355"/>
      <c r="I33" s="355">
        <v>4</v>
      </c>
      <c r="J33" s="355">
        <v>8</v>
      </c>
      <c r="K33" s="355">
        <v>48</v>
      </c>
      <c r="L33" s="355">
        <v>6</v>
      </c>
      <c r="M33" s="355"/>
      <c r="N33" s="355"/>
      <c r="O33" s="355"/>
      <c r="P33" s="355"/>
      <c r="Q33" s="355"/>
      <c r="R33" s="355"/>
      <c r="S33" s="355"/>
      <c r="T33" s="355"/>
      <c r="U33" s="355"/>
      <c r="V33" s="355"/>
      <c r="W33" s="355"/>
      <c r="X33" s="355">
        <f>1*4</f>
        <v>4</v>
      </c>
      <c r="Y33" s="355">
        <f>1*8</f>
        <v>8</v>
      </c>
      <c r="Z33" s="355">
        <f>1*4</f>
        <v>4</v>
      </c>
      <c r="AA33" s="355">
        <f>1*3</f>
        <v>3</v>
      </c>
      <c r="AB33" s="355">
        <v>51</v>
      </c>
      <c r="AC33" s="355">
        <v>22</v>
      </c>
      <c r="AD33" s="355"/>
      <c r="AE33" s="355"/>
      <c r="AF33" s="355">
        <v>10</v>
      </c>
      <c r="AG33" s="355"/>
      <c r="AH33" s="355"/>
      <c r="AI33" s="355"/>
      <c r="AJ33" s="355"/>
      <c r="AK33" s="355"/>
      <c r="AL33" s="355"/>
      <c r="AM33" s="355"/>
      <c r="AN33" s="355"/>
      <c r="AO33" s="355"/>
      <c r="AP33" s="355"/>
      <c r="AQ33" s="355">
        <v>4</v>
      </c>
      <c r="AR33" s="355">
        <v>21</v>
      </c>
      <c r="AS33" s="355">
        <v>6</v>
      </c>
      <c r="AT33" s="355"/>
      <c r="AU33" s="355"/>
      <c r="AV33" s="355"/>
      <c r="AW33" s="355">
        <v>6</v>
      </c>
      <c r="AX33" s="355"/>
      <c r="AY33" s="355">
        <v>14</v>
      </c>
      <c r="AZ33" s="355">
        <v>6</v>
      </c>
      <c r="BA33" s="355">
        <v>3</v>
      </c>
      <c r="BB33" s="355">
        <v>2</v>
      </c>
      <c r="BC33" s="355">
        <v>9</v>
      </c>
      <c r="BD33" s="355">
        <v>6</v>
      </c>
      <c r="BE33" s="355">
        <f>3*3+3</f>
        <v>12</v>
      </c>
      <c r="BF33" s="355">
        <f>3*5</f>
        <v>15</v>
      </c>
      <c r="BG33" s="355">
        <v>12</v>
      </c>
      <c r="BH33" s="355"/>
      <c r="BI33" s="355"/>
      <c r="BJ33" s="355">
        <v>3</v>
      </c>
      <c r="BK33" s="355">
        <v>3</v>
      </c>
      <c r="BL33" s="355"/>
      <c r="BM33" s="355">
        <v>3</v>
      </c>
      <c r="BN33" s="355">
        <v>3</v>
      </c>
      <c r="BO33" s="355">
        <v>3</v>
      </c>
      <c r="BP33" s="355">
        <v>2</v>
      </c>
      <c r="BQ33" s="355">
        <v>3</v>
      </c>
      <c r="BR33" s="355">
        <v>3</v>
      </c>
      <c r="BS33" s="355">
        <v>4</v>
      </c>
      <c r="BT33" s="355">
        <v>3</v>
      </c>
      <c r="BU33" s="355">
        <v>4</v>
      </c>
      <c r="BV33" s="355">
        <v>7</v>
      </c>
      <c r="BW33" s="355">
        <v>3</v>
      </c>
      <c r="BX33" s="355"/>
      <c r="BY33" s="355"/>
      <c r="BZ33" s="355">
        <v>2</v>
      </c>
      <c r="CA33" s="355">
        <v>3</v>
      </c>
      <c r="CB33" s="355">
        <v>3</v>
      </c>
      <c r="CC33" s="355">
        <v>5</v>
      </c>
      <c r="CD33" s="355">
        <v>13</v>
      </c>
      <c r="CE33" s="355">
        <v>6</v>
      </c>
      <c r="CF33" s="355">
        <v>24</v>
      </c>
      <c r="CG33" s="355">
        <v>8</v>
      </c>
      <c r="CH33" s="355">
        <v>18</v>
      </c>
      <c r="CI33" s="355">
        <v>18</v>
      </c>
      <c r="CJ33" s="355"/>
      <c r="CK33" s="355"/>
      <c r="CL33" s="355"/>
      <c r="CM33" s="355"/>
      <c r="CN33" s="355"/>
      <c r="CO33" s="355"/>
      <c r="CP33" s="355"/>
      <c r="CQ33" s="355"/>
      <c r="CR33" s="355"/>
      <c r="CS33" s="355"/>
      <c r="CT33" s="436"/>
      <c r="CU33" s="436"/>
      <c r="CV33" s="436"/>
      <c r="CW33" s="355"/>
      <c r="CX33" s="355"/>
      <c r="CY33" s="355"/>
      <c r="CZ33" s="355"/>
      <c r="DA33" s="355"/>
    </row>
    <row r="34" spans="1:105" s="353" customFormat="1" x14ac:dyDescent="0.2">
      <c r="A34" s="355" t="s">
        <v>17</v>
      </c>
      <c r="B34" s="354" t="s">
        <v>332</v>
      </c>
      <c r="C34" s="354" t="s">
        <v>105</v>
      </c>
      <c r="D34" s="355">
        <f t="shared" si="18"/>
        <v>175</v>
      </c>
      <c r="E34" s="355">
        <f>3*4+3</f>
        <v>15</v>
      </c>
      <c r="F34" s="355"/>
      <c r="G34" s="355"/>
      <c r="H34" s="355"/>
      <c r="I34" s="355"/>
      <c r="J34" s="355"/>
      <c r="K34" s="355"/>
      <c r="L34" s="355"/>
      <c r="M34" s="355"/>
      <c r="N34" s="355"/>
      <c r="O34" s="355">
        <f>3*2</f>
        <v>6</v>
      </c>
      <c r="P34" s="355">
        <f>3*3+3</f>
        <v>12</v>
      </c>
      <c r="Q34" s="355"/>
      <c r="R34" s="355"/>
      <c r="S34" s="355"/>
      <c r="T34" s="355"/>
      <c r="U34" s="355"/>
      <c r="V34" s="355"/>
      <c r="W34" s="355"/>
      <c r="X34" s="355">
        <v>4</v>
      </c>
      <c r="Y34" s="355"/>
      <c r="Z34" s="355"/>
      <c r="AA34" s="355"/>
      <c r="AB34" s="355"/>
      <c r="AC34" s="355">
        <v>6</v>
      </c>
      <c r="AD34" s="355"/>
      <c r="AE34" s="355"/>
      <c r="AF34" s="355"/>
      <c r="AG34" s="355"/>
      <c r="AH34" s="355"/>
      <c r="AI34" s="355"/>
      <c r="AJ34" s="355"/>
      <c r="AK34" s="355">
        <v>3</v>
      </c>
      <c r="AL34" s="355">
        <v>6</v>
      </c>
      <c r="AM34" s="355">
        <v>9</v>
      </c>
      <c r="AN34" s="355">
        <v>12</v>
      </c>
      <c r="AO34" s="355">
        <v>6</v>
      </c>
      <c r="AP34" s="355">
        <v>3</v>
      </c>
      <c r="AQ34" s="355">
        <v>3</v>
      </c>
      <c r="AR34" s="355"/>
      <c r="AS34" s="355"/>
      <c r="AT34" s="355"/>
      <c r="AU34" s="355"/>
      <c r="AV34" s="355"/>
      <c r="AW34" s="355"/>
      <c r="AX34" s="355"/>
      <c r="AY34" s="355">
        <v>27</v>
      </c>
      <c r="AZ34" s="355">
        <v>6</v>
      </c>
      <c r="BA34" s="355">
        <v>6</v>
      </c>
      <c r="BB34" s="355"/>
      <c r="BC34" s="355"/>
      <c r="BD34" s="355">
        <v>6</v>
      </c>
      <c r="BE34" s="355">
        <f>3*3</f>
        <v>9</v>
      </c>
      <c r="BF34" s="355">
        <v>15</v>
      </c>
      <c r="BG34" s="355">
        <v>12</v>
      </c>
      <c r="BH34" s="355"/>
      <c r="BI34" s="355"/>
      <c r="BJ34" s="355">
        <v>3</v>
      </c>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v>6</v>
      </c>
      <c r="CJ34" s="355"/>
      <c r="CK34" s="355"/>
      <c r="CL34" s="355"/>
      <c r="CM34" s="355"/>
      <c r="CN34" s="355"/>
      <c r="CO34" s="355"/>
      <c r="CP34" s="355"/>
      <c r="CQ34" s="355"/>
      <c r="CR34" s="355"/>
      <c r="CS34" s="355"/>
      <c r="CT34" s="436"/>
      <c r="CU34" s="436"/>
      <c r="CV34" s="436"/>
      <c r="CW34" s="355"/>
      <c r="CX34" s="355"/>
      <c r="CY34" s="355"/>
      <c r="CZ34" s="355"/>
      <c r="DA34" s="355"/>
    </row>
    <row r="35" spans="1:105" s="353" customFormat="1" x14ac:dyDescent="0.2">
      <c r="A35" s="355" t="s">
        <v>23</v>
      </c>
      <c r="B35" s="354" t="s">
        <v>207</v>
      </c>
      <c r="C35" s="354" t="s">
        <v>105</v>
      </c>
      <c r="D35" s="355">
        <f t="shared" si="18"/>
        <v>439</v>
      </c>
      <c r="E35" s="355">
        <f>25*4+25</f>
        <v>125</v>
      </c>
      <c r="F35" s="355"/>
      <c r="G35" s="355">
        <v>25</v>
      </c>
      <c r="H35" s="355">
        <v>25</v>
      </c>
      <c r="I35" s="355"/>
      <c r="J35" s="355"/>
      <c r="K35" s="355"/>
      <c r="L35" s="355"/>
      <c r="M35" s="355"/>
      <c r="N35" s="355"/>
      <c r="O35" s="355">
        <f>10*2</f>
        <v>20</v>
      </c>
      <c r="P35" s="355">
        <f>10*3+10</f>
        <v>40</v>
      </c>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v>20</v>
      </c>
      <c r="AQ35" s="355"/>
      <c r="AR35" s="355"/>
      <c r="AS35" s="355"/>
      <c r="AT35" s="355"/>
      <c r="AU35" s="355"/>
      <c r="AV35" s="355"/>
      <c r="AW35" s="355"/>
      <c r="AX35" s="355"/>
      <c r="AY35" s="355"/>
      <c r="AZ35" s="355">
        <v>20</v>
      </c>
      <c r="BA35" s="355">
        <v>20</v>
      </c>
      <c r="BB35" s="355"/>
      <c r="BC35" s="355"/>
      <c r="BD35" s="355">
        <v>40</v>
      </c>
      <c r="BE35" s="355">
        <f>8*3</f>
        <v>24</v>
      </c>
      <c r="BF35" s="355">
        <v>40</v>
      </c>
      <c r="BG35" s="355">
        <v>32</v>
      </c>
      <c r="BH35" s="355"/>
      <c r="BI35" s="355"/>
      <c r="BJ35" s="355">
        <v>8</v>
      </c>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436"/>
      <c r="CU35" s="436"/>
      <c r="CV35" s="436"/>
      <c r="CW35" s="355"/>
      <c r="CX35" s="355"/>
      <c r="CY35" s="355"/>
      <c r="CZ35" s="355"/>
      <c r="DA35" s="355"/>
    </row>
    <row r="36" spans="1:105" s="353" customFormat="1" x14ac:dyDescent="0.2">
      <c r="A36" s="355" t="s">
        <v>100</v>
      </c>
      <c r="B36" s="354" t="s">
        <v>101</v>
      </c>
      <c r="C36" s="354" t="s">
        <v>105</v>
      </c>
      <c r="D36" s="355">
        <f t="shared" si="18"/>
        <v>35</v>
      </c>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v>4</v>
      </c>
      <c r="CI36" s="355">
        <v>12</v>
      </c>
      <c r="CJ36" s="355">
        <v>6</v>
      </c>
      <c r="CK36" s="355"/>
      <c r="CL36" s="355"/>
      <c r="CM36" s="355"/>
      <c r="CN36" s="355"/>
      <c r="CO36" s="355"/>
      <c r="CP36" s="355"/>
      <c r="CQ36" s="355"/>
      <c r="CR36" s="355"/>
      <c r="CS36" s="355">
        <v>3</v>
      </c>
      <c r="CT36" s="436">
        <v>4</v>
      </c>
      <c r="CU36" s="436"/>
      <c r="CV36" s="436">
        <v>6</v>
      </c>
      <c r="CW36" s="355"/>
      <c r="CX36" s="355"/>
      <c r="CY36" s="355"/>
      <c r="CZ36" s="355"/>
      <c r="DA36" s="355"/>
    </row>
    <row r="37" spans="1:105" s="353" customFormat="1" x14ac:dyDescent="0.2">
      <c r="A37" s="355" t="s">
        <v>24</v>
      </c>
      <c r="B37" s="354" t="s">
        <v>333</v>
      </c>
      <c r="C37" s="354" t="s">
        <v>105</v>
      </c>
      <c r="D37" s="355">
        <f t="shared" si="18"/>
        <v>72</v>
      </c>
      <c r="E37" s="355"/>
      <c r="F37" s="355"/>
      <c r="G37" s="355"/>
      <c r="H37" s="355"/>
      <c r="I37" s="355"/>
      <c r="J37" s="355"/>
      <c r="K37" s="355"/>
      <c r="L37" s="355"/>
      <c r="M37" s="355"/>
      <c r="N37" s="355"/>
      <c r="O37" s="355"/>
      <c r="P37" s="355"/>
      <c r="Q37" s="355"/>
      <c r="R37" s="355">
        <v>3</v>
      </c>
      <c r="S37" s="355"/>
      <c r="T37" s="355"/>
      <c r="U37" s="355">
        <v>3</v>
      </c>
      <c r="V37" s="355"/>
      <c r="W37" s="355"/>
      <c r="X37" s="355"/>
      <c r="Y37" s="355"/>
      <c r="Z37" s="355"/>
      <c r="AA37" s="355"/>
      <c r="AB37" s="355"/>
      <c r="AC37" s="355">
        <v>20</v>
      </c>
      <c r="AD37" s="355"/>
      <c r="AE37" s="355"/>
      <c r="AF37" s="355"/>
      <c r="AG37" s="355"/>
      <c r="AH37" s="355"/>
      <c r="AI37" s="355"/>
      <c r="AJ37" s="355"/>
      <c r="AK37" s="355">
        <v>3</v>
      </c>
      <c r="AL37" s="355">
        <v>6</v>
      </c>
      <c r="AM37" s="355">
        <v>9</v>
      </c>
      <c r="AN37" s="355">
        <v>12</v>
      </c>
      <c r="AO37" s="355">
        <v>6</v>
      </c>
      <c r="AP37" s="355"/>
      <c r="AQ37" s="355">
        <v>3</v>
      </c>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436"/>
      <c r="CU37" s="436">
        <v>7</v>
      </c>
      <c r="CV37" s="436"/>
      <c r="CW37" s="355"/>
      <c r="CX37" s="355"/>
      <c r="CY37" s="355"/>
      <c r="CZ37" s="355"/>
      <c r="DA37" s="355"/>
    </row>
    <row r="38" spans="1:105" s="353" customFormat="1" x14ac:dyDescent="0.2">
      <c r="A38" s="355" t="s">
        <v>102</v>
      </c>
      <c r="B38" s="354" t="s">
        <v>107</v>
      </c>
      <c r="C38" s="354" t="s">
        <v>105</v>
      </c>
      <c r="D38" s="355">
        <f t="shared" si="18"/>
        <v>178</v>
      </c>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v>3</v>
      </c>
      <c r="AL38" s="355">
        <v>6</v>
      </c>
      <c r="AM38" s="355">
        <v>9</v>
      </c>
      <c r="AN38" s="355">
        <v>12</v>
      </c>
      <c r="AO38" s="355">
        <v>6</v>
      </c>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v>18</v>
      </c>
      <c r="CJ38" s="355">
        <v>18</v>
      </c>
      <c r="CK38" s="355"/>
      <c r="CL38" s="355"/>
      <c r="CM38" s="355"/>
      <c r="CN38" s="355"/>
      <c r="CO38" s="355"/>
      <c r="CP38" s="355"/>
      <c r="CQ38" s="355"/>
      <c r="CR38" s="355"/>
      <c r="CS38" s="355">
        <v>24</v>
      </c>
      <c r="CT38" s="436">
        <v>30</v>
      </c>
      <c r="CU38" s="436">
        <v>7</v>
      </c>
      <c r="CV38" s="436">
        <v>45</v>
      </c>
      <c r="CW38" s="355"/>
      <c r="CX38" s="355"/>
      <c r="CY38" s="355"/>
      <c r="CZ38" s="355"/>
      <c r="DA38" s="355"/>
    </row>
    <row r="39" spans="1:105" s="353" customFormat="1" x14ac:dyDescent="0.2">
      <c r="A39" s="355" t="s">
        <v>267</v>
      </c>
      <c r="B39" s="354" t="s">
        <v>435</v>
      </c>
      <c r="C39" s="354"/>
      <c r="D39" s="355">
        <f t="shared" si="18"/>
        <v>39</v>
      </c>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v>6</v>
      </c>
      <c r="AL39" s="355">
        <v>6</v>
      </c>
      <c r="AM39" s="355">
        <v>9</v>
      </c>
      <c r="AN39" s="355">
        <v>12</v>
      </c>
      <c r="AO39" s="355">
        <v>6</v>
      </c>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436"/>
      <c r="CU39" s="436"/>
      <c r="CV39" s="436"/>
      <c r="CW39" s="355"/>
      <c r="CX39" s="355"/>
      <c r="CY39" s="355"/>
      <c r="CZ39" s="355"/>
      <c r="DA39" s="355"/>
    </row>
    <row r="40" spans="1:105" s="353" customFormat="1" x14ac:dyDescent="0.2">
      <c r="A40" s="355"/>
      <c r="B40" s="372" t="s">
        <v>58</v>
      </c>
      <c r="C40" s="354"/>
      <c r="D40" s="373">
        <f>SUM(D31:D39)</f>
        <v>2069</v>
      </c>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436"/>
      <c r="CU40" s="436"/>
      <c r="CV40" s="436"/>
      <c r="CW40" s="355"/>
      <c r="CX40" s="355"/>
      <c r="CY40" s="355"/>
      <c r="CZ40" s="355"/>
      <c r="DA40" s="355"/>
    </row>
    <row r="41" spans="1:105" s="353" customFormat="1" x14ac:dyDescent="0.2">
      <c r="A41" s="355"/>
      <c r="B41" s="354" t="s">
        <v>250</v>
      </c>
      <c r="C41" s="354"/>
      <c r="D41" s="373"/>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436"/>
      <c r="CU41" s="436"/>
      <c r="CV41" s="436"/>
      <c r="CW41" s="355"/>
      <c r="CX41" s="355"/>
      <c r="CY41" s="355"/>
      <c r="CZ41" s="355"/>
      <c r="DA41" s="355"/>
    </row>
    <row r="42" spans="1:105" s="353" customFormat="1" x14ac:dyDescent="0.2">
      <c r="A42" s="355" t="s">
        <v>270</v>
      </c>
      <c r="B42" s="354" t="s">
        <v>334</v>
      </c>
      <c r="C42" s="354" t="s">
        <v>106</v>
      </c>
      <c r="D42" s="355">
        <f t="shared" ref="D42:D53" si="19">SUM(E42:DA42)</f>
        <v>6</v>
      </c>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v>2</v>
      </c>
      <c r="CN42" s="355">
        <v>2</v>
      </c>
      <c r="CO42" s="355">
        <v>2</v>
      </c>
      <c r="CP42" s="355"/>
      <c r="CQ42" s="355"/>
      <c r="CR42" s="355"/>
      <c r="CS42" s="355"/>
      <c r="CT42" s="436"/>
      <c r="CU42" s="436"/>
      <c r="CV42" s="436"/>
      <c r="CW42" s="355"/>
      <c r="CX42" s="355"/>
      <c r="CY42" s="355"/>
      <c r="CZ42" s="355"/>
      <c r="DA42" s="355"/>
    </row>
    <row r="43" spans="1:105" s="353" customFormat="1" x14ac:dyDescent="0.2">
      <c r="A43" s="355" t="s">
        <v>20</v>
      </c>
      <c r="B43" s="354" t="s">
        <v>335</v>
      </c>
      <c r="C43" s="354" t="s">
        <v>106</v>
      </c>
      <c r="D43" s="355">
        <f t="shared" si="19"/>
        <v>111</v>
      </c>
      <c r="E43" s="355"/>
      <c r="F43" s="355">
        <f>31+5</f>
        <v>36</v>
      </c>
      <c r="G43" s="355"/>
      <c r="H43" s="355"/>
      <c r="I43" s="355">
        <v>4</v>
      </c>
      <c r="J43" s="355">
        <f>1*4</f>
        <v>4</v>
      </c>
      <c r="K43" s="355">
        <f>1*24</f>
        <v>24</v>
      </c>
      <c r="L43" s="355">
        <f>1*3</f>
        <v>3</v>
      </c>
      <c r="M43" s="355"/>
      <c r="N43" s="355"/>
      <c r="O43" s="355"/>
      <c r="P43" s="355"/>
      <c r="Q43" s="355"/>
      <c r="R43" s="355"/>
      <c r="S43" s="355"/>
      <c r="T43" s="355"/>
      <c r="U43" s="355"/>
      <c r="V43" s="355"/>
      <c r="W43" s="355"/>
      <c r="X43" s="355">
        <f>1*4</f>
        <v>4</v>
      </c>
      <c r="Y43" s="355"/>
      <c r="Z43" s="355"/>
      <c r="AA43" s="355"/>
      <c r="AB43" s="355"/>
      <c r="AC43" s="355"/>
      <c r="AD43" s="355"/>
      <c r="AE43" s="355"/>
      <c r="AF43" s="355"/>
      <c r="AG43" s="355"/>
      <c r="AH43" s="355"/>
      <c r="AI43" s="355"/>
      <c r="AJ43" s="355"/>
      <c r="AK43" s="355"/>
      <c r="AL43" s="355"/>
      <c r="AM43" s="355"/>
      <c r="AN43" s="355"/>
      <c r="AO43" s="355"/>
      <c r="AP43" s="355">
        <v>4</v>
      </c>
      <c r="AQ43" s="355">
        <v>2</v>
      </c>
      <c r="AR43" s="355"/>
      <c r="AS43" s="355"/>
      <c r="AT43" s="355"/>
      <c r="AU43" s="355"/>
      <c r="AV43" s="355"/>
      <c r="AW43" s="355"/>
      <c r="AX43" s="355"/>
      <c r="AY43" s="355"/>
      <c r="AZ43" s="355"/>
      <c r="BA43" s="355"/>
      <c r="BB43" s="355"/>
      <c r="BC43" s="355"/>
      <c r="BD43" s="355">
        <v>3</v>
      </c>
      <c r="BE43" s="355"/>
      <c r="BF43" s="355">
        <v>5</v>
      </c>
      <c r="BG43" s="355">
        <v>6</v>
      </c>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v>12</v>
      </c>
      <c r="CG43" s="355">
        <v>4</v>
      </c>
      <c r="CH43" s="355"/>
      <c r="CI43" s="355"/>
      <c r="CJ43" s="355"/>
      <c r="CK43" s="355"/>
      <c r="CL43" s="355"/>
      <c r="CM43" s="355"/>
      <c r="CN43" s="355"/>
      <c r="CO43" s="355"/>
      <c r="CP43" s="355"/>
      <c r="CQ43" s="355"/>
      <c r="CR43" s="355"/>
      <c r="CS43" s="355"/>
      <c r="CT43" s="436"/>
      <c r="CU43" s="436"/>
      <c r="CV43" s="436"/>
      <c r="CW43" s="355"/>
      <c r="CX43" s="355"/>
      <c r="CY43" s="355"/>
      <c r="CZ43" s="355"/>
      <c r="DA43" s="355"/>
    </row>
    <row r="44" spans="1:105" s="353" customFormat="1" x14ac:dyDescent="0.2">
      <c r="A44" s="355" t="s">
        <v>33</v>
      </c>
      <c r="B44" s="354" t="s">
        <v>240</v>
      </c>
      <c r="C44" s="354" t="s">
        <v>106</v>
      </c>
      <c r="D44" s="355">
        <f t="shared" si="19"/>
        <v>32</v>
      </c>
      <c r="E44" s="355"/>
      <c r="F44" s="355"/>
      <c r="G44" s="355"/>
      <c r="H44" s="355"/>
      <c r="I44" s="355"/>
      <c r="J44" s="355"/>
      <c r="K44" s="355"/>
      <c r="L44" s="355"/>
      <c r="M44" s="355"/>
      <c r="N44" s="355"/>
      <c r="O44" s="355"/>
      <c r="P44" s="355"/>
      <c r="Q44" s="355"/>
      <c r="R44" s="355"/>
      <c r="S44" s="355"/>
      <c r="T44" s="355"/>
      <c r="U44" s="355"/>
      <c r="V44" s="355">
        <v>7</v>
      </c>
      <c r="W44" s="355"/>
      <c r="X44" s="355"/>
      <c r="Y44" s="355"/>
      <c r="Z44" s="355"/>
      <c r="AA44" s="355"/>
      <c r="AB44" s="355"/>
      <c r="AC44" s="355">
        <v>1</v>
      </c>
      <c r="AD44" s="355"/>
      <c r="AE44" s="355"/>
      <c r="AF44" s="355">
        <v>1</v>
      </c>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v>5</v>
      </c>
      <c r="CN44" s="355"/>
      <c r="CO44" s="355">
        <v>3</v>
      </c>
      <c r="CP44" s="355">
        <v>2</v>
      </c>
      <c r="CQ44" s="355">
        <v>13</v>
      </c>
      <c r="CR44" s="355"/>
      <c r="CS44" s="355"/>
      <c r="CT44" s="436"/>
      <c r="CU44" s="436"/>
      <c r="CV44" s="436"/>
      <c r="CW44" s="355"/>
      <c r="CX44" s="355"/>
      <c r="CY44" s="355"/>
      <c r="CZ44" s="355"/>
      <c r="DA44" s="355"/>
    </row>
    <row r="45" spans="1:105" s="353" customFormat="1" x14ac:dyDescent="0.2">
      <c r="A45" s="355" t="s">
        <v>34</v>
      </c>
      <c r="B45" s="354" t="s">
        <v>336</v>
      </c>
      <c r="C45" s="354" t="s">
        <v>106</v>
      </c>
      <c r="D45" s="355">
        <f t="shared" si="19"/>
        <v>146</v>
      </c>
      <c r="E45" s="355"/>
      <c r="F45" s="355"/>
      <c r="G45" s="355"/>
      <c r="H45" s="355"/>
      <c r="I45" s="355"/>
      <c r="J45" s="355"/>
      <c r="K45" s="355"/>
      <c r="L45" s="355"/>
      <c r="M45" s="355"/>
      <c r="N45" s="355"/>
      <c r="O45" s="355"/>
      <c r="P45" s="355"/>
      <c r="Q45" s="355"/>
      <c r="R45" s="355"/>
      <c r="S45" s="355"/>
      <c r="T45" s="355"/>
      <c r="U45" s="355"/>
      <c r="V45" s="355">
        <v>30</v>
      </c>
      <c r="W45" s="355"/>
      <c r="X45" s="355"/>
      <c r="Y45" s="355"/>
      <c r="Z45" s="355"/>
      <c r="AA45" s="355"/>
      <c r="AB45" s="355">
        <v>51</v>
      </c>
      <c r="AC45" s="355">
        <v>19</v>
      </c>
      <c r="AD45" s="355"/>
      <c r="AE45" s="355"/>
      <c r="AF45" s="355">
        <v>10</v>
      </c>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v>18</v>
      </c>
      <c r="CJ45" s="355">
        <v>18</v>
      </c>
      <c r="CK45" s="355"/>
      <c r="CL45" s="355"/>
      <c r="CM45" s="355"/>
      <c r="CN45" s="355"/>
      <c r="CO45" s="355"/>
      <c r="CP45" s="355"/>
      <c r="CQ45" s="355"/>
      <c r="CR45" s="355"/>
      <c r="CS45" s="355"/>
      <c r="CT45" s="436"/>
      <c r="CU45" s="436"/>
      <c r="CV45" s="436"/>
      <c r="CW45" s="355"/>
      <c r="CX45" s="355"/>
      <c r="CY45" s="355"/>
      <c r="CZ45" s="355"/>
      <c r="DA45" s="355"/>
    </row>
    <row r="46" spans="1:105" s="353" customFormat="1" x14ac:dyDescent="0.2">
      <c r="A46" s="355" t="s">
        <v>111</v>
      </c>
      <c r="B46" s="354" t="s">
        <v>110</v>
      </c>
      <c r="C46" s="354" t="s">
        <v>106</v>
      </c>
      <c r="D46" s="355">
        <f t="shared" si="19"/>
        <v>880</v>
      </c>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f>38*8</f>
        <v>304</v>
      </c>
      <c r="CS46" s="355"/>
      <c r="CT46" s="436"/>
      <c r="CU46" s="436"/>
      <c r="CV46" s="436"/>
      <c r="CW46" s="355"/>
      <c r="CX46" s="355">
        <v>288</v>
      </c>
      <c r="CY46" s="355">
        <v>32</v>
      </c>
      <c r="CZ46" s="355">
        <v>64</v>
      </c>
      <c r="DA46" s="355">
        <v>192</v>
      </c>
    </row>
    <row r="47" spans="1:105" s="353" customFormat="1" x14ac:dyDescent="0.2">
      <c r="A47" s="355" t="s">
        <v>119</v>
      </c>
      <c r="B47" s="354" t="s">
        <v>209</v>
      </c>
      <c r="C47" s="354" t="s">
        <v>106</v>
      </c>
      <c r="D47" s="355">
        <f t="shared" si="19"/>
        <v>8</v>
      </c>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v>4</v>
      </c>
      <c r="CN47" s="355">
        <v>2</v>
      </c>
      <c r="CO47" s="355"/>
      <c r="CP47" s="355">
        <v>2</v>
      </c>
      <c r="CQ47" s="355"/>
      <c r="CR47" s="355"/>
      <c r="CS47" s="355"/>
      <c r="CT47" s="436"/>
      <c r="CU47" s="436"/>
      <c r="CV47" s="436"/>
      <c r="CW47" s="355"/>
      <c r="CX47" s="355"/>
      <c r="CY47" s="355"/>
      <c r="CZ47" s="355"/>
      <c r="DA47" s="355"/>
    </row>
    <row r="48" spans="1:105" s="353" customFormat="1" x14ac:dyDescent="0.2">
      <c r="A48" s="355" t="s">
        <v>114</v>
      </c>
      <c r="B48" s="354" t="s">
        <v>211</v>
      </c>
      <c r="C48" s="354" t="s">
        <v>106</v>
      </c>
      <c r="D48" s="355">
        <f t="shared" si="19"/>
        <v>42</v>
      </c>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v>21</v>
      </c>
      <c r="CN48" s="355">
        <v>6</v>
      </c>
      <c r="CO48" s="355">
        <v>9</v>
      </c>
      <c r="CP48" s="355">
        <v>6</v>
      </c>
      <c r="CQ48" s="355"/>
      <c r="CR48" s="355"/>
      <c r="CS48" s="355"/>
      <c r="CT48" s="436"/>
      <c r="CU48" s="436"/>
      <c r="CV48" s="436"/>
      <c r="CW48" s="355"/>
      <c r="CX48" s="355"/>
      <c r="CY48" s="355"/>
      <c r="CZ48" s="355"/>
      <c r="DA48" s="355"/>
    </row>
    <row r="49" spans="1:105" s="353" customFormat="1" x14ac:dyDescent="0.2">
      <c r="A49" s="355" t="s">
        <v>115</v>
      </c>
      <c r="B49" s="354" t="s">
        <v>210</v>
      </c>
      <c r="C49" s="354" t="s">
        <v>106</v>
      </c>
      <c r="D49" s="355">
        <f t="shared" si="19"/>
        <v>45</v>
      </c>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v>3</v>
      </c>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v>21</v>
      </c>
      <c r="CN49" s="355">
        <v>6</v>
      </c>
      <c r="CO49" s="355">
        <v>9</v>
      </c>
      <c r="CP49" s="355">
        <v>6</v>
      </c>
      <c r="CQ49" s="355"/>
      <c r="CR49" s="355"/>
      <c r="CS49" s="355"/>
      <c r="CT49" s="436"/>
      <c r="CU49" s="436"/>
      <c r="CV49" s="436"/>
      <c r="CW49" s="355"/>
      <c r="CX49" s="355"/>
      <c r="CY49" s="355"/>
      <c r="CZ49" s="355"/>
      <c r="DA49" s="355"/>
    </row>
    <row r="50" spans="1:105" s="353" customFormat="1" x14ac:dyDescent="0.2">
      <c r="A50" s="355" t="s">
        <v>116</v>
      </c>
      <c r="B50" s="354" t="s">
        <v>117</v>
      </c>
      <c r="C50" s="354" t="s">
        <v>106</v>
      </c>
      <c r="D50" s="355">
        <f t="shared" si="19"/>
        <v>14</v>
      </c>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v>7</v>
      </c>
      <c r="CN50" s="355">
        <v>2</v>
      </c>
      <c r="CO50" s="355">
        <v>3</v>
      </c>
      <c r="CP50" s="355">
        <v>2</v>
      </c>
      <c r="CQ50" s="355"/>
      <c r="CR50" s="355"/>
      <c r="CS50" s="355"/>
      <c r="CT50" s="436"/>
      <c r="CU50" s="436"/>
      <c r="CV50" s="436"/>
      <c r="CW50" s="355"/>
      <c r="CX50" s="355"/>
      <c r="CY50" s="355"/>
      <c r="CZ50" s="355"/>
      <c r="DA50" s="355"/>
    </row>
    <row r="51" spans="1:105" s="353" customFormat="1" x14ac:dyDescent="0.2">
      <c r="A51" s="355" t="s">
        <v>118</v>
      </c>
      <c r="B51" s="354" t="s">
        <v>349</v>
      </c>
      <c r="C51" s="354" t="s">
        <v>106</v>
      </c>
      <c r="D51" s="355">
        <f t="shared" si="19"/>
        <v>3</v>
      </c>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v>3</v>
      </c>
      <c r="CN51" s="355"/>
      <c r="CO51" s="355"/>
      <c r="CP51" s="355"/>
      <c r="CQ51" s="355"/>
      <c r="CR51" s="355"/>
      <c r="CS51" s="355"/>
      <c r="CT51" s="436"/>
      <c r="CU51" s="436"/>
      <c r="CV51" s="436"/>
      <c r="CW51" s="355"/>
      <c r="CX51" s="355"/>
      <c r="CY51" s="355"/>
      <c r="CZ51" s="355"/>
      <c r="DA51" s="355"/>
    </row>
    <row r="52" spans="1:105" x14ac:dyDescent="0.2">
      <c r="A52" s="357" t="s">
        <v>14</v>
      </c>
      <c r="B52" s="356" t="s">
        <v>350</v>
      </c>
      <c r="C52" s="354" t="s">
        <v>106</v>
      </c>
      <c r="D52" s="355">
        <f t="shared" si="19"/>
        <v>151</v>
      </c>
      <c r="E52" s="357"/>
      <c r="F52" s="357">
        <f>31-3</f>
        <v>28</v>
      </c>
      <c r="G52" s="357"/>
      <c r="H52" s="357"/>
      <c r="I52" s="357">
        <v>2</v>
      </c>
      <c r="J52" s="357">
        <v>4</v>
      </c>
      <c r="K52" s="357">
        <f>1*24-2</f>
        <v>22</v>
      </c>
      <c r="L52" s="357">
        <v>3</v>
      </c>
      <c r="M52" s="357"/>
      <c r="N52" s="357"/>
      <c r="O52" s="357"/>
      <c r="P52" s="357"/>
      <c r="Q52" s="357"/>
      <c r="R52" s="357">
        <v>1</v>
      </c>
      <c r="S52" s="357"/>
      <c r="T52" s="357"/>
      <c r="U52" s="357">
        <v>1</v>
      </c>
      <c r="V52" s="357"/>
      <c r="W52" s="357"/>
      <c r="X52" s="357"/>
      <c r="Y52" s="357"/>
      <c r="Z52" s="357"/>
      <c r="AA52" s="357">
        <v>3</v>
      </c>
      <c r="AB52" s="357">
        <v>28</v>
      </c>
      <c r="AC52" s="357">
        <v>7</v>
      </c>
      <c r="AD52" s="357"/>
      <c r="AE52" s="357"/>
      <c r="AF52" s="357"/>
      <c r="AG52" s="357"/>
      <c r="AH52" s="357"/>
      <c r="AI52" s="357"/>
      <c r="AJ52" s="357"/>
      <c r="AK52" s="357"/>
      <c r="AL52" s="357"/>
      <c r="AM52" s="357"/>
      <c r="AN52" s="357"/>
      <c r="AO52" s="357"/>
      <c r="AP52" s="357">
        <v>3</v>
      </c>
      <c r="AQ52" s="357">
        <v>1</v>
      </c>
      <c r="AR52" s="357">
        <v>6</v>
      </c>
      <c r="AS52" s="357">
        <v>4</v>
      </c>
      <c r="AT52" s="357"/>
      <c r="AU52" s="357"/>
      <c r="AV52" s="357"/>
      <c r="AW52" s="357">
        <v>3</v>
      </c>
      <c r="AX52" s="357"/>
      <c r="AY52" s="357">
        <v>4</v>
      </c>
      <c r="AZ52" s="357"/>
      <c r="BA52" s="357"/>
      <c r="BB52" s="357">
        <v>1</v>
      </c>
      <c r="BC52" s="357">
        <v>3</v>
      </c>
      <c r="BD52" s="357">
        <v>5</v>
      </c>
      <c r="BE52" s="357">
        <v>5</v>
      </c>
      <c r="BF52" s="357">
        <v>7</v>
      </c>
      <c r="BG52" s="357">
        <v>3</v>
      </c>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v>7</v>
      </c>
      <c r="CG52" s="357"/>
      <c r="CH52" s="357"/>
      <c r="CI52" s="357"/>
      <c r="CJ52" s="357"/>
      <c r="CK52" s="357"/>
      <c r="CL52" s="357"/>
      <c r="CM52" s="357"/>
      <c r="CN52" s="357"/>
      <c r="CO52" s="357"/>
      <c r="CP52" s="357"/>
      <c r="CQ52" s="357"/>
      <c r="CR52" s="357"/>
      <c r="CS52" s="357"/>
      <c r="CT52" s="438"/>
      <c r="CU52" s="438"/>
      <c r="CV52" s="438"/>
      <c r="CW52" s="357"/>
      <c r="CX52" s="357"/>
      <c r="CY52" s="357"/>
      <c r="CZ52" s="357"/>
      <c r="DA52" s="357"/>
    </row>
    <row r="53" spans="1:105" x14ac:dyDescent="0.2">
      <c r="A53" s="357" t="s">
        <v>97</v>
      </c>
      <c r="B53" s="356" t="s">
        <v>98</v>
      </c>
      <c r="C53" s="354" t="s">
        <v>106</v>
      </c>
      <c r="D53" s="355">
        <f t="shared" si="19"/>
        <v>17</v>
      </c>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v>4</v>
      </c>
      <c r="CH53" s="357">
        <v>4</v>
      </c>
      <c r="CI53" s="357">
        <v>5</v>
      </c>
      <c r="CJ53" s="357">
        <v>4</v>
      </c>
      <c r="CK53" s="357"/>
      <c r="CL53" s="357"/>
      <c r="CM53" s="357"/>
      <c r="CN53" s="357"/>
      <c r="CO53" s="357"/>
      <c r="CP53" s="357"/>
      <c r="CQ53" s="357"/>
      <c r="CR53" s="357"/>
      <c r="CS53" s="357"/>
      <c r="CT53" s="438"/>
      <c r="CU53" s="438"/>
      <c r="CV53" s="438"/>
      <c r="CW53" s="357"/>
      <c r="CX53" s="357"/>
      <c r="CY53" s="357"/>
      <c r="CZ53" s="357"/>
      <c r="DA53" s="357"/>
    </row>
    <row r="54" spans="1:105" s="353" customFormat="1" x14ac:dyDescent="0.2">
      <c r="A54" s="355"/>
      <c r="B54" s="372" t="s">
        <v>58</v>
      </c>
      <c r="C54" s="354"/>
      <c r="D54" s="373">
        <f>SUM(D41:D53)</f>
        <v>1455</v>
      </c>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436"/>
      <c r="CU54" s="436"/>
      <c r="CV54" s="436"/>
      <c r="CW54" s="355"/>
      <c r="CX54" s="355"/>
      <c r="CY54" s="355"/>
      <c r="CZ54" s="355"/>
      <c r="DA54" s="355"/>
    </row>
    <row r="55" spans="1:105" s="353" customFormat="1" x14ac:dyDescent="0.2">
      <c r="A55" s="355"/>
      <c r="B55" s="354" t="s">
        <v>252</v>
      </c>
      <c r="C55" s="354"/>
      <c r="D55" s="373"/>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436"/>
      <c r="CU55" s="436"/>
      <c r="CV55" s="436"/>
      <c r="CW55" s="355"/>
      <c r="CX55" s="355"/>
      <c r="CY55" s="355"/>
      <c r="CZ55" s="355"/>
      <c r="DA55" s="355"/>
    </row>
    <row r="56" spans="1:105" s="353" customFormat="1" x14ac:dyDescent="0.2">
      <c r="A56" s="355" t="s">
        <v>28</v>
      </c>
      <c r="B56" s="354" t="s">
        <v>29</v>
      </c>
      <c r="C56" s="354" t="s">
        <v>109</v>
      </c>
      <c r="D56" s="355">
        <f>SUM(E56:DA56)</f>
        <v>249</v>
      </c>
      <c r="E56" s="355"/>
      <c r="F56" s="355"/>
      <c r="G56" s="355"/>
      <c r="H56" s="355"/>
      <c r="I56" s="355"/>
      <c r="J56" s="355"/>
      <c r="K56" s="355"/>
      <c r="L56" s="355"/>
      <c r="M56" s="355"/>
      <c r="N56" s="355"/>
      <c r="O56" s="355"/>
      <c r="P56" s="355"/>
      <c r="Q56" s="355"/>
      <c r="R56" s="355">
        <v>20</v>
      </c>
      <c r="S56" s="355"/>
      <c r="T56" s="355">
        <v>20</v>
      </c>
      <c r="U56" s="355"/>
      <c r="V56" s="355"/>
      <c r="W56" s="355">
        <v>35</v>
      </c>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v>3</v>
      </c>
      <c r="BL56" s="355">
        <v>3</v>
      </c>
      <c r="BM56" s="355">
        <v>6</v>
      </c>
      <c r="BN56" s="355">
        <v>6</v>
      </c>
      <c r="BO56" s="355">
        <v>6</v>
      </c>
      <c r="BP56" s="355">
        <v>4</v>
      </c>
      <c r="BQ56" s="355">
        <v>6</v>
      </c>
      <c r="BR56" s="355">
        <v>6</v>
      </c>
      <c r="BS56" s="355">
        <v>6</v>
      </c>
      <c r="BT56" s="355">
        <v>6</v>
      </c>
      <c r="BU56" s="355">
        <v>6</v>
      </c>
      <c r="BV56" s="355">
        <v>11</v>
      </c>
      <c r="BW56" s="355">
        <v>5</v>
      </c>
      <c r="BX56" s="355"/>
      <c r="BY56" s="355"/>
      <c r="BZ56" s="355">
        <v>4</v>
      </c>
      <c r="CA56" s="355">
        <v>5</v>
      </c>
      <c r="CB56" s="355">
        <v>6</v>
      </c>
      <c r="CC56" s="355">
        <v>9</v>
      </c>
      <c r="CD56" s="355">
        <v>24</v>
      </c>
      <c r="CE56" s="355">
        <v>12</v>
      </c>
      <c r="CF56" s="355"/>
      <c r="CG56" s="355"/>
      <c r="CH56" s="355"/>
      <c r="CI56" s="355"/>
      <c r="CJ56" s="355"/>
      <c r="CK56" s="355"/>
      <c r="CL56" s="355"/>
      <c r="CM56" s="355"/>
      <c r="CN56" s="355"/>
      <c r="CO56" s="355"/>
      <c r="CP56" s="355"/>
      <c r="CQ56" s="355"/>
      <c r="CR56" s="355"/>
      <c r="CS56" s="355"/>
      <c r="CT56" s="436"/>
      <c r="CU56" s="436">
        <v>20</v>
      </c>
      <c r="CV56" s="436"/>
      <c r="CW56" s="355">
        <v>20</v>
      </c>
      <c r="CX56" s="355"/>
      <c r="CY56" s="355"/>
      <c r="CZ56" s="355"/>
      <c r="DA56" s="355"/>
    </row>
    <row r="57" spans="1:105" s="353" customFormat="1" x14ac:dyDescent="0.2">
      <c r="A57" s="355" t="s">
        <v>38</v>
      </c>
      <c r="B57" s="354" t="s">
        <v>31</v>
      </c>
      <c r="C57" s="354" t="s">
        <v>109</v>
      </c>
      <c r="D57" s="355">
        <f t="shared" ref="D57:D63" si="20">SUM(E57:DA57)</f>
        <v>129</v>
      </c>
      <c r="E57" s="355"/>
      <c r="F57" s="355"/>
      <c r="G57" s="355"/>
      <c r="H57" s="355"/>
      <c r="I57" s="355"/>
      <c r="J57" s="355"/>
      <c r="K57" s="355"/>
      <c r="L57" s="355"/>
      <c r="M57" s="355"/>
      <c r="N57" s="355"/>
      <c r="O57" s="355"/>
      <c r="P57" s="355"/>
      <c r="Q57" s="355">
        <v>3</v>
      </c>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v>3</v>
      </c>
      <c r="BL57" s="355">
        <v>3</v>
      </c>
      <c r="BM57" s="355">
        <v>5</v>
      </c>
      <c r="BN57" s="355">
        <v>5</v>
      </c>
      <c r="BO57" s="355">
        <v>5</v>
      </c>
      <c r="BP57" s="355">
        <v>3</v>
      </c>
      <c r="BQ57" s="355">
        <v>4</v>
      </c>
      <c r="BR57" s="355">
        <v>4</v>
      </c>
      <c r="BS57" s="355">
        <v>4</v>
      </c>
      <c r="BT57" s="355">
        <v>4</v>
      </c>
      <c r="BU57" s="355"/>
      <c r="BV57" s="355">
        <v>7</v>
      </c>
      <c r="BW57" s="355">
        <v>4</v>
      </c>
      <c r="BX57" s="355"/>
      <c r="BY57" s="355"/>
      <c r="BZ57" s="355"/>
      <c r="CA57" s="355"/>
      <c r="CB57" s="355">
        <v>3</v>
      </c>
      <c r="CC57" s="355">
        <v>7</v>
      </c>
      <c r="CD57" s="355">
        <v>19</v>
      </c>
      <c r="CE57" s="355">
        <v>6</v>
      </c>
      <c r="CF57" s="355"/>
      <c r="CG57" s="355"/>
      <c r="CH57" s="355"/>
      <c r="CI57" s="355"/>
      <c r="CJ57" s="355"/>
      <c r="CK57" s="355"/>
      <c r="CL57" s="355"/>
      <c r="CM57" s="355"/>
      <c r="CN57" s="355"/>
      <c r="CO57" s="355"/>
      <c r="CP57" s="355"/>
      <c r="CQ57" s="355"/>
      <c r="CR57" s="355"/>
      <c r="CS57" s="355"/>
      <c r="CT57" s="436"/>
      <c r="CU57" s="436">
        <v>20</v>
      </c>
      <c r="CV57" s="436"/>
      <c r="CW57" s="355">
        <v>20</v>
      </c>
      <c r="CX57" s="355"/>
      <c r="CY57" s="355"/>
      <c r="CZ57" s="355"/>
      <c r="DA57" s="355"/>
    </row>
    <row r="58" spans="1:105" s="353" customFormat="1" x14ac:dyDescent="0.2">
      <c r="A58" s="355" t="s">
        <v>36</v>
      </c>
      <c r="B58" s="354" t="s">
        <v>35</v>
      </c>
      <c r="C58" s="354" t="s">
        <v>109</v>
      </c>
      <c r="D58" s="355">
        <f t="shared" si="20"/>
        <v>91</v>
      </c>
      <c r="E58" s="355"/>
      <c r="F58" s="355"/>
      <c r="G58" s="355"/>
      <c r="H58" s="355"/>
      <c r="I58" s="355"/>
      <c r="J58" s="355"/>
      <c r="K58" s="355"/>
      <c r="L58" s="355"/>
      <c r="M58" s="355"/>
      <c r="N58" s="355"/>
      <c r="O58" s="355"/>
      <c r="P58" s="355"/>
      <c r="Q58" s="355"/>
      <c r="R58" s="355"/>
      <c r="S58" s="355"/>
      <c r="T58" s="355"/>
      <c r="U58" s="355"/>
      <c r="V58" s="355"/>
      <c r="W58" s="355">
        <v>21</v>
      </c>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436"/>
      <c r="CU58" s="436">
        <v>40</v>
      </c>
      <c r="CV58" s="436"/>
      <c r="CW58" s="355">
        <v>30</v>
      </c>
      <c r="CX58" s="355"/>
      <c r="CY58" s="355"/>
      <c r="CZ58" s="355"/>
      <c r="DA58" s="355"/>
    </row>
    <row r="59" spans="1:105" s="353" customFormat="1" x14ac:dyDescent="0.2">
      <c r="A59" s="355" t="s">
        <v>268</v>
      </c>
      <c r="B59" s="354" t="s">
        <v>8</v>
      </c>
      <c r="C59" s="354" t="s">
        <v>109</v>
      </c>
      <c r="D59" s="355">
        <f t="shared" si="20"/>
        <v>157</v>
      </c>
      <c r="E59" s="355"/>
      <c r="F59" s="355"/>
      <c r="G59" s="355"/>
      <c r="H59" s="355"/>
      <c r="I59" s="355"/>
      <c r="J59" s="355"/>
      <c r="K59" s="355"/>
      <c r="L59" s="355"/>
      <c r="M59" s="355"/>
      <c r="N59" s="355"/>
      <c r="O59" s="355"/>
      <c r="P59" s="355"/>
      <c r="Q59" s="355"/>
      <c r="R59" s="355"/>
      <c r="S59" s="355"/>
      <c r="T59" s="355"/>
      <c r="U59" s="355"/>
      <c r="V59" s="355"/>
      <c r="W59" s="355">
        <v>21</v>
      </c>
      <c r="X59" s="355"/>
      <c r="Y59" s="355"/>
      <c r="Z59" s="355"/>
      <c r="AA59" s="355"/>
      <c r="AB59" s="355"/>
      <c r="AC59" s="355"/>
      <c r="AD59" s="355"/>
      <c r="AE59" s="355"/>
      <c r="AF59" s="355"/>
      <c r="AG59" s="355"/>
      <c r="AH59" s="355"/>
      <c r="AI59" s="355"/>
      <c r="AJ59" s="355"/>
      <c r="AK59" s="355">
        <v>2</v>
      </c>
      <c r="AL59" s="355">
        <v>6</v>
      </c>
      <c r="AM59" s="355">
        <v>12</v>
      </c>
      <c r="AN59" s="355">
        <v>12</v>
      </c>
      <c r="AO59" s="355">
        <v>6</v>
      </c>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v>2</v>
      </c>
      <c r="BL59" s="355">
        <v>3</v>
      </c>
      <c r="BM59" s="355">
        <v>4</v>
      </c>
      <c r="BN59" s="355">
        <v>4</v>
      </c>
      <c r="BO59" s="355">
        <v>4</v>
      </c>
      <c r="BP59" s="355">
        <v>3</v>
      </c>
      <c r="BQ59" s="355">
        <v>4</v>
      </c>
      <c r="BR59" s="355">
        <v>4</v>
      </c>
      <c r="BS59" s="355">
        <v>4</v>
      </c>
      <c r="BT59" s="355">
        <v>4</v>
      </c>
      <c r="BU59" s="355">
        <v>7</v>
      </c>
      <c r="BV59" s="355">
        <v>7</v>
      </c>
      <c r="BW59" s="355">
        <v>4</v>
      </c>
      <c r="BX59" s="355"/>
      <c r="BY59" s="355"/>
      <c r="BZ59" s="355"/>
      <c r="CA59" s="355"/>
      <c r="CB59" s="355">
        <v>5</v>
      </c>
      <c r="CC59" s="355">
        <v>8</v>
      </c>
      <c r="CD59" s="355">
        <v>21</v>
      </c>
      <c r="CE59" s="355">
        <v>10</v>
      </c>
      <c r="CF59" s="355"/>
      <c r="CG59" s="355"/>
      <c r="CH59" s="355"/>
      <c r="CI59" s="355"/>
      <c r="CJ59" s="355"/>
      <c r="CK59" s="355"/>
      <c r="CL59" s="355"/>
      <c r="CM59" s="355"/>
      <c r="CN59" s="355"/>
      <c r="CO59" s="355"/>
      <c r="CP59" s="355"/>
      <c r="CQ59" s="355"/>
      <c r="CR59" s="355"/>
      <c r="CS59" s="355"/>
      <c r="CT59" s="436"/>
      <c r="CU59" s="436"/>
      <c r="CV59" s="436"/>
      <c r="CW59" s="355"/>
      <c r="CX59" s="355"/>
      <c r="CY59" s="355"/>
      <c r="CZ59" s="355"/>
      <c r="DA59" s="355"/>
    </row>
    <row r="60" spans="1:105" s="353" customFormat="1" x14ac:dyDescent="0.2">
      <c r="A60" s="355" t="s">
        <v>32</v>
      </c>
      <c r="B60" s="354" t="s">
        <v>37</v>
      </c>
      <c r="C60" s="354" t="s">
        <v>109</v>
      </c>
      <c r="D60" s="355">
        <f t="shared" si="20"/>
        <v>21</v>
      </c>
      <c r="E60" s="355"/>
      <c r="F60" s="355"/>
      <c r="G60" s="355"/>
      <c r="H60" s="355"/>
      <c r="I60" s="355"/>
      <c r="J60" s="355"/>
      <c r="K60" s="355"/>
      <c r="L60" s="355"/>
      <c r="M60" s="355"/>
      <c r="N60" s="355"/>
      <c r="O60" s="355"/>
      <c r="P60" s="355"/>
      <c r="Q60" s="355"/>
      <c r="R60" s="355"/>
      <c r="S60" s="355"/>
      <c r="T60" s="355"/>
      <c r="U60" s="355"/>
      <c r="V60" s="355"/>
      <c r="W60" s="355">
        <v>21</v>
      </c>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436"/>
      <c r="CU60" s="436"/>
      <c r="CV60" s="436"/>
      <c r="CW60" s="355"/>
      <c r="CX60" s="355"/>
      <c r="CY60" s="355"/>
      <c r="CZ60" s="355"/>
      <c r="DA60" s="355"/>
    </row>
    <row r="61" spans="1:105" s="353" customFormat="1" x14ac:dyDescent="0.2">
      <c r="A61" s="355" t="s">
        <v>40</v>
      </c>
      <c r="B61" s="354" t="s">
        <v>39</v>
      </c>
      <c r="C61" s="354" t="s">
        <v>109</v>
      </c>
      <c r="D61" s="355">
        <f t="shared" si="20"/>
        <v>21</v>
      </c>
      <c r="E61" s="355"/>
      <c r="F61" s="355"/>
      <c r="G61" s="355"/>
      <c r="H61" s="355"/>
      <c r="I61" s="355"/>
      <c r="J61" s="355"/>
      <c r="K61" s="355"/>
      <c r="L61" s="355"/>
      <c r="M61" s="355"/>
      <c r="N61" s="355"/>
      <c r="O61" s="355"/>
      <c r="P61" s="355"/>
      <c r="Q61" s="355"/>
      <c r="R61" s="355"/>
      <c r="S61" s="355"/>
      <c r="T61" s="355"/>
      <c r="U61" s="355"/>
      <c r="V61" s="355"/>
      <c r="W61" s="355">
        <v>21</v>
      </c>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436"/>
      <c r="CU61" s="436"/>
      <c r="CV61" s="436"/>
      <c r="CW61" s="355"/>
      <c r="CX61" s="355"/>
      <c r="CY61" s="355"/>
      <c r="CZ61" s="355"/>
      <c r="DA61" s="355"/>
    </row>
    <row r="62" spans="1:105" s="353" customFormat="1" x14ac:dyDescent="0.2">
      <c r="A62" s="355" t="s">
        <v>269</v>
      </c>
      <c r="B62" s="354" t="s">
        <v>351</v>
      </c>
      <c r="C62" s="354" t="s">
        <v>109</v>
      </c>
      <c r="D62" s="355">
        <f t="shared" si="20"/>
        <v>512</v>
      </c>
      <c r="E62" s="355">
        <v>14</v>
      </c>
      <c r="F62" s="355">
        <v>40</v>
      </c>
      <c r="G62" s="355"/>
      <c r="H62" s="355"/>
      <c r="I62" s="355"/>
      <c r="J62" s="355"/>
      <c r="K62" s="355">
        <v>30</v>
      </c>
      <c r="L62" s="355"/>
      <c r="M62" s="355"/>
      <c r="N62" s="355"/>
      <c r="O62" s="355">
        <v>5</v>
      </c>
      <c r="P62" s="355">
        <v>8</v>
      </c>
      <c r="Q62" s="355"/>
      <c r="R62" s="355"/>
      <c r="S62" s="355"/>
      <c r="T62" s="355"/>
      <c r="U62" s="355"/>
      <c r="V62" s="355"/>
      <c r="W62" s="355"/>
      <c r="X62" s="355"/>
      <c r="Y62" s="355"/>
      <c r="Z62" s="355"/>
      <c r="AA62" s="355"/>
      <c r="AB62" s="355"/>
      <c r="AC62" s="355"/>
      <c r="AD62" s="355"/>
      <c r="AE62" s="355"/>
      <c r="AF62" s="355"/>
      <c r="AG62" s="355"/>
      <c r="AH62" s="355"/>
      <c r="AI62" s="355"/>
      <c r="AJ62" s="355"/>
      <c r="AK62" s="355">
        <v>6</v>
      </c>
      <c r="AL62" s="355">
        <v>6</v>
      </c>
      <c r="AM62" s="355">
        <v>9</v>
      </c>
      <c r="AN62" s="355">
        <v>12</v>
      </c>
      <c r="AO62" s="355">
        <v>6</v>
      </c>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v>9</v>
      </c>
      <c r="BL62" s="355">
        <v>9</v>
      </c>
      <c r="BM62" s="355">
        <v>12</v>
      </c>
      <c r="BN62" s="355">
        <v>12</v>
      </c>
      <c r="BO62" s="355">
        <v>12</v>
      </c>
      <c r="BP62" s="355">
        <v>9</v>
      </c>
      <c r="BQ62" s="355">
        <v>15</v>
      </c>
      <c r="BR62" s="355">
        <v>15</v>
      </c>
      <c r="BS62" s="355">
        <v>18</v>
      </c>
      <c r="BT62" s="355">
        <v>15</v>
      </c>
      <c r="BU62" s="355">
        <v>15</v>
      </c>
      <c r="BV62" s="355">
        <v>36</v>
      </c>
      <c r="BW62" s="355">
        <v>12</v>
      </c>
      <c r="BX62" s="355"/>
      <c r="BY62" s="355"/>
      <c r="BZ62" s="355"/>
      <c r="CA62" s="355"/>
      <c r="CB62" s="355">
        <v>12</v>
      </c>
      <c r="CC62" s="355">
        <v>21</v>
      </c>
      <c r="CD62" s="355">
        <v>54</v>
      </c>
      <c r="CE62" s="355">
        <v>30</v>
      </c>
      <c r="CF62" s="355"/>
      <c r="CG62" s="355"/>
      <c r="CH62" s="355"/>
      <c r="CI62" s="355"/>
      <c r="CJ62" s="355"/>
      <c r="CK62" s="355"/>
      <c r="CL62" s="355"/>
      <c r="CM62" s="355"/>
      <c r="CN62" s="355"/>
      <c r="CO62" s="355"/>
      <c r="CP62" s="355"/>
      <c r="CQ62" s="355"/>
      <c r="CR62" s="355"/>
      <c r="CS62" s="355"/>
      <c r="CT62" s="436"/>
      <c r="CU62" s="436">
        <v>40</v>
      </c>
      <c r="CV62" s="436"/>
      <c r="CW62" s="355">
        <v>30</v>
      </c>
      <c r="CX62" s="355"/>
      <c r="CY62" s="355"/>
      <c r="CZ62" s="355"/>
      <c r="DA62" s="355"/>
    </row>
    <row r="63" spans="1:105" s="353" customFormat="1" x14ac:dyDescent="0.2">
      <c r="A63" s="355" t="s">
        <v>22</v>
      </c>
      <c r="B63" s="354" t="s">
        <v>352</v>
      </c>
      <c r="C63" s="354" t="s">
        <v>109</v>
      </c>
      <c r="D63" s="355">
        <f t="shared" si="20"/>
        <v>365</v>
      </c>
      <c r="E63" s="355">
        <f>1*4</f>
        <v>4</v>
      </c>
      <c r="F63" s="355">
        <f>31*3</f>
        <v>93</v>
      </c>
      <c r="G63" s="355">
        <v>3</v>
      </c>
      <c r="H63" s="355">
        <v>3</v>
      </c>
      <c r="I63" s="355">
        <v>2</v>
      </c>
      <c r="J63" s="355">
        <f>1*4</f>
        <v>4</v>
      </c>
      <c r="K63" s="355">
        <f>1*24</f>
        <v>24</v>
      </c>
      <c r="L63" s="355">
        <f>3*1</f>
        <v>3</v>
      </c>
      <c r="M63" s="355"/>
      <c r="N63" s="355"/>
      <c r="O63" s="355">
        <v>2</v>
      </c>
      <c r="P63" s="355">
        <v>3</v>
      </c>
      <c r="Q63" s="355">
        <v>3</v>
      </c>
      <c r="R63" s="355">
        <v>3</v>
      </c>
      <c r="S63" s="355"/>
      <c r="T63" s="355"/>
      <c r="U63" s="355"/>
      <c r="V63" s="355"/>
      <c r="W63" s="355"/>
      <c r="X63" s="355">
        <f>1*4</f>
        <v>4</v>
      </c>
      <c r="Y63" s="355">
        <f>1*8</f>
        <v>8</v>
      </c>
      <c r="Z63" s="355">
        <f>1*4</f>
        <v>4</v>
      </c>
      <c r="AA63" s="355">
        <v>3</v>
      </c>
      <c r="AB63" s="355"/>
      <c r="AC63" s="355">
        <v>18</v>
      </c>
      <c r="AD63" s="355"/>
      <c r="AE63" s="355"/>
      <c r="AF63" s="355">
        <v>10</v>
      </c>
      <c r="AG63" s="355"/>
      <c r="AH63" s="355"/>
      <c r="AI63" s="355"/>
      <c r="AJ63" s="355"/>
      <c r="AK63" s="355">
        <v>2</v>
      </c>
      <c r="AL63" s="355">
        <v>6</v>
      </c>
      <c r="AM63" s="355">
        <v>6</v>
      </c>
      <c r="AN63" s="355">
        <v>8</v>
      </c>
      <c r="AO63" s="355">
        <v>4</v>
      </c>
      <c r="AP63" s="355">
        <v>2</v>
      </c>
      <c r="AQ63" s="355">
        <v>2</v>
      </c>
      <c r="AR63" s="355">
        <v>8</v>
      </c>
      <c r="AS63" s="355">
        <v>3</v>
      </c>
      <c r="AT63" s="355">
        <v>1</v>
      </c>
      <c r="AU63" s="355"/>
      <c r="AV63" s="355"/>
      <c r="AW63" s="355">
        <v>4</v>
      </c>
      <c r="AX63" s="355"/>
      <c r="AY63" s="355"/>
      <c r="AZ63" s="355">
        <v>2</v>
      </c>
      <c r="BA63" s="355">
        <v>4</v>
      </c>
      <c r="BB63" s="355"/>
      <c r="BC63" s="355">
        <v>3</v>
      </c>
      <c r="BD63" s="355"/>
      <c r="BE63" s="355">
        <f>2*3+1</f>
        <v>7</v>
      </c>
      <c r="BF63" s="355">
        <v>10</v>
      </c>
      <c r="BG63" s="355">
        <v>8</v>
      </c>
      <c r="BH63" s="355"/>
      <c r="BI63" s="355"/>
      <c r="BJ63" s="355">
        <v>2</v>
      </c>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v>24</v>
      </c>
      <c r="CG63" s="355">
        <v>8</v>
      </c>
      <c r="CH63" s="355">
        <v>8</v>
      </c>
      <c r="CI63" s="355">
        <v>24</v>
      </c>
      <c r="CJ63" s="355">
        <v>15</v>
      </c>
      <c r="CK63" s="355"/>
      <c r="CL63" s="355"/>
      <c r="CM63" s="355"/>
      <c r="CN63" s="355"/>
      <c r="CO63" s="355"/>
      <c r="CP63" s="355"/>
      <c r="CQ63" s="355"/>
      <c r="CR63" s="355"/>
      <c r="CS63" s="355"/>
      <c r="CT63" s="436"/>
      <c r="CU63" s="436">
        <v>6</v>
      </c>
      <c r="CV63" s="436"/>
      <c r="CW63" s="355">
        <v>4</v>
      </c>
      <c r="CX63" s="355"/>
      <c r="CY63" s="355"/>
      <c r="CZ63" s="355"/>
      <c r="DA63" s="355"/>
    </row>
    <row r="64" spans="1:105" s="353" customFormat="1" x14ac:dyDescent="0.2">
      <c r="A64" s="355"/>
      <c r="B64" s="372" t="s">
        <v>58</v>
      </c>
      <c r="C64" s="354"/>
      <c r="D64" s="373">
        <f>SUM(D55:D63)</f>
        <v>1545</v>
      </c>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436"/>
      <c r="CU64" s="436"/>
      <c r="CV64" s="436"/>
      <c r="CW64" s="355"/>
      <c r="CX64" s="355"/>
      <c r="CY64" s="355"/>
      <c r="CZ64" s="355"/>
      <c r="DA64" s="355"/>
    </row>
    <row r="66" spans="2:100" x14ac:dyDescent="0.2">
      <c r="B66" s="358" t="s">
        <v>348</v>
      </c>
      <c r="C66" s="358"/>
      <c r="D66" s="359" t="s">
        <v>316</v>
      </c>
      <c r="E66" s="359"/>
    </row>
    <row r="67" spans="2:100" s="362" customFormat="1" x14ac:dyDescent="0.2">
      <c r="B67" s="360" t="s">
        <v>11</v>
      </c>
      <c r="C67" s="360"/>
      <c r="D67" s="359">
        <f>D29</f>
        <v>2563</v>
      </c>
      <c r="E67" s="361"/>
      <c r="CT67" s="439"/>
      <c r="CU67" s="439"/>
      <c r="CV67" s="439"/>
    </row>
    <row r="68" spans="2:100" s="362" customFormat="1" x14ac:dyDescent="0.2">
      <c r="B68" s="360" t="s">
        <v>12</v>
      </c>
      <c r="C68" s="360"/>
      <c r="D68" s="359">
        <f>D40</f>
        <v>2069</v>
      </c>
      <c r="E68" s="363"/>
      <c r="CT68" s="439"/>
      <c r="CU68" s="439"/>
      <c r="CV68" s="439"/>
    </row>
    <row r="69" spans="2:100" s="364" customFormat="1" x14ac:dyDescent="0.2">
      <c r="B69" s="360" t="s">
        <v>258</v>
      </c>
      <c r="C69" s="360"/>
      <c r="D69" s="359">
        <f>D54</f>
        <v>1455</v>
      </c>
      <c r="E69" s="363"/>
      <c r="CT69" s="440"/>
      <c r="CU69" s="440"/>
      <c r="CV69" s="440"/>
    </row>
    <row r="70" spans="2:100" s="364" customFormat="1" x14ac:dyDescent="0.2">
      <c r="B70" s="360" t="s">
        <v>251</v>
      </c>
      <c r="C70" s="360"/>
      <c r="D70" s="359">
        <f>D64</f>
        <v>1545</v>
      </c>
      <c r="E70" s="365"/>
      <c r="CT70" s="440"/>
      <c r="CU70" s="440"/>
      <c r="CV70" s="440"/>
    </row>
    <row r="71" spans="2:100" s="368" customFormat="1" x14ac:dyDescent="0.2">
      <c r="B71" s="366" t="s">
        <v>6</v>
      </c>
      <c r="C71" s="366"/>
      <c r="D71" s="367">
        <f>SUM(D67:D70)</f>
        <v>7632</v>
      </c>
      <c r="E71" s="367"/>
      <c r="CT71" s="441"/>
      <c r="CU71" s="441"/>
      <c r="CV71" s="441"/>
    </row>
  </sheetData>
  <phoneticPr fontId="4" type="noConversion"/>
  <pageMargins left="0.23622047244094491" right="0.23622047244094491" top="0.74803149606299213" bottom="0.74803149606299213" header="0.31496062992125984" footer="0.31496062992125984"/>
  <pageSetup paperSize="1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view="pageBreakPreview" zoomScaleNormal="100" zoomScaleSheetLayoutView="100" workbookViewId="0">
      <selection activeCell="L70" sqref="L70"/>
    </sheetView>
  </sheetViews>
  <sheetFormatPr defaultRowHeight="12" x14ac:dyDescent="0.2"/>
  <cols>
    <col min="1" max="1" width="7.140625" style="24" customWidth="1"/>
    <col min="2" max="2" width="30" style="25" bestFit="1" customWidth="1"/>
    <col min="3" max="3" width="4.7109375" style="25" customWidth="1"/>
    <col min="4" max="4" width="13.7109375" style="26" customWidth="1"/>
    <col min="5" max="5" width="4.140625" style="26" bestFit="1" customWidth="1"/>
    <col min="6" max="6" width="5" style="27" customWidth="1"/>
    <col min="7" max="14" width="3.7109375" style="28" customWidth="1"/>
    <col min="15" max="16384" width="9.140625" style="25"/>
  </cols>
  <sheetData>
    <row r="1" spans="1:14" s="331" customFormat="1" ht="22.5" x14ac:dyDescent="0.25">
      <c r="A1" s="599" t="s">
        <v>432</v>
      </c>
      <c r="B1" s="599"/>
      <c r="C1" s="599"/>
      <c r="D1" s="599"/>
      <c r="E1" s="599"/>
      <c r="F1" s="599"/>
      <c r="G1" s="599"/>
      <c r="H1" s="330"/>
    </row>
    <row r="2" spans="1:14" s="11" customFormat="1" ht="12.75" x14ac:dyDescent="0.25">
      <c r="A2" s="22" t="s">
        <v>327</v>
      </c>
      <c r="B2" s="23" t="s">
        <v>190</v>
      </c>
      <c r="F2" s="12"/>
      <c r="G2" s="13"/>
      <c r="H2" s="12"/>
      <c r="J2" s="23"/>
    </row>
    <row r="3" spans="1:14" s="19" customFormat="1" ht="12.75" x14ac:dyDescent="0.2">
      <c r="A3" s="14" t="s">
        <v>180</v>
      </c>
      <c r="B3" s="14" t="s">
        <v>191</v>
      </c>
      <c r="C3" s="14"/>
      <c r="D3" s="15"/>
      <c r="E3" s="16"/>
      <c r="F3" s="17"/>
      <c r="G3" s="18"/>
      <c r="H3" s="17"/>
    </row>
    <row r="4" spans="1:14" s="19" customFormat="1" ht="12.75" x14ac:dyDescent="0.2">
      <c r="A4" s="14" t="s">
        <v>392</v>
      </c>
      <c r="B4" s="14"/>
      <c r="C4" s="14"/>
      <c r="D4" s="15"/>
      <c r="E4" s="16"/>
      <c r="F4" s="17"/>
      <c r="G4" s="18"/>
      <c r="H4" s="17"/>
    </row>
    <row r="5" spans="1:14" s="19" customFormat="1" ht="12.75" x14ac:dyDescent="0.2">
      <c r="A5" s="14" t="s">
        <v>221</v>
      </c>
      <c r="B5" s="20" t="s">
        <v>222</v>
      </c>
      <c r="C5" s="14"/>
      <c r="D5" s="15"/>
      <c r="E5" s="16"/>
      <c r="F5" s="17"/>
      <c r="G5" s="18"/>
      <c r="H5" s="17"/>
    </row>
    <row r="7" spans="1:14" s="118" customFormat="1" ht="13.5" x14ac:dyDescent="0.25">
      <c r="A7" s="387" t="s">
        <v>42</v>
      </c>
      <c r="B7" s="8"/>
      <c r="C7" s="8"/>
      <c r="D7" s="388"/>
      <c r="E7" s="388"/>
      <c r="F7" s="9"/>
      <c r="G7" s="177"/>
      <c r="H7" s="177"/>
      <c r="I7" s="177"/>
      <c r="J7" s="177"/>
      <c r="K7" s="177"/>
      <c r="L7" s="177"/>
      <c r="M7" s="177"/>
      <c r="N7" s="177"/>
    </row>
    <row r="8" spans="1:14" s="403" customFormat="1" ht="69" x14ac:dyDescent="0.25">
      <c r="A8" s="397" t="s">
        <v>43</v>
      </c>
      <c r="B8" s="398"/>
      <c r="C8" s="398" t="s">
        <v>103</v>
      </c>
      <c r="D8" s="399" t="s">
        <v>60</v>
      </c>
      <c r="E8" s="400" t="s">
        <v>223</v>
      </c>
      <c r="F8" s="401" t="s">
        <v>6</v>
      </c>
      <c r="G8" s="402" t="s">
        <v>85</v>
      </c>
      <c r="H8" s="402" t="s">
        <v>301</v>
      </c>
      <c r="I8" s="402" t="s">
        <v>306</v>
      </c>
      <c r="J8" s="402" t="s">
        <v>73</v>
      </c>
      <c r="K8" s="402" t="s">
        <v>88</v>
      </c>
      <c r="L8" s="402" t="s">
        <v>75</v>
      </c>
      <c r="M8" s="402" t="s">
        <v>74</v>
      </c>
      <c r="N8" s="402" t="s">
        <v>76</v>
      </c>
    </row>
    <row r="9" spans="1:14" s="118" customFormat="1" ht="13.5" x14ac:dyDescent="0.25">
      <c r="A9" s="387" t="s">
        <v>93</v>
      </c>
      <c r="B9" s="8" t="s">
        <v>94</v>
      </c>
      <c r="C9" s="8" t="s">
        <v>187</v>
      </c>
      <c r="D9" s="388" t="s">
        <v>188</v>
      </c>
      <c r="E9" s="388" t="s">
        <v>314</v>
      </c>
      <c r="F9" s="9">
        <f t="shared" ref="F9:F10" si="0">SUM(G9:N9)</f>
        <v>2</v>
      </c>
      <c r="G9" s="177"/>
      <c r="H9" s="177"/>
      <c r="I9" s="177"/>
      <c r="J9" s="177"/>
      <c r="K9" s="177">
        <v>1</v>
      </c>
      <c r="L9" s="177"/>
      <c r="M9" s="177">
        <v>1</v>
      </c>
      <c r="N9" s="177"/>
    </row>
    <row r="10" spans="1:14" s="118" customFormat="1" ht="13.5" x14ac:dyDescent="0.25">
      <c r="A10" s="387" t="s">
        <v>293</v>
      </c>
      <c r="B10" s="8" t="s">
        <v>292</v>
      </c>
      <c r="C10" s="8" t="s">
        <v>187</v>
      </c>
      <c r="D10" s="388" t="s">
        <v>188</v>
      </c>
      <c r="E10" s="388" t="s">
        <v>314</v>
      </c>
      <c r="F10" s="9">
        <f t="shared" si="0"/>
        <v>4</v>
      </c>
      <c r="G10" s="177"/>
      <c r="H10" s="177"/>
      <c r="I10" s="177"/>
      <c r="J10" s="177"/>
      <c r="K10" s="177"/>
      <c r="L10" s="177"/>
      <c r="M10" s="177">
        <v>4</v>
      </c>
      <c r="N10" s="177"/>
    </row>
    <row r="11" spans="1:14" s="409" customFormat="1" ht="13.5" x14ac:dyDescent="0.25">
      <c r="A11" s="404"/>
      <c r="B11" s="405"/>
      <c r="C11" s="405"/>
      <c r="D11" s="406"/>
      <c r="E11" s="406"/>
      <c r="F11" s="407">
        <f>SUM(G11:N11)</f>
        <v>6</v>
      </c>
      <c r="G11" s="408">
        <f t="shared" ref="G11:M11" si="1">SUM(G9:G10)</f>
        <v>0</v>
      </c>
      <c r="H11" s="408">
        <f t="shared" si="1"/>
        <v>0</v>
      </c>
      <c r="I11" s="408">
        <f t="shared" si="1"/>
        <v>0</v>
      </c>
      <c r="J11" s="408">
        <f t="shared" si="1"/>
        <v>0</v>
      </c>
      <c r="K11" s="408">
        <f t="shared" si="1"/>
        <v>1</v>
      </c>
      <c r="L11" s="408">
        <f t="shared" si="1"/>
        <v>0</v>
      </c>
      <c r="M11" s="408">
        <f t="shared" si="1"/>
        <v>5</v>
      </c>
      <c r="N11" s="408">
        <f>SUM(N9:N10)</f>
        <v>0</v>
      </c>
    </row>
    <row r="12" spans="1:14" s="118" customFormat="1" ht="13.5" x14ac:dyDescent="0.25">
      <c r="A12" s="387"/>
      <c r="B12" s="8" t="s">
        <v>313</v>
      </c>
      <c r="C12" s="8"/>
      <c r="D12" s="388"/>
      <c r="E12" s="388"/>
      <c r="F12" s="9"/>
      <c r="G12" s="177"/>
      <c r="H12" s="177"/>
      <c r="I12" s="177"/>
      <c r="J12" s="177"/>
      <c r="K12" s="177"/>
      <c r="L12" s="177"/>
      <c r="M12" s="177"/>
      <c r="N12" s="177"/>
    </row>
    <row r="13" spans="1:14" s="118" customFormat="1" ht="13.5" x14ac:dyDescent="0.25">
      <c r="A13" s="387" t="s">
        <v>62</v>
      </c>
      <c r="B13" s="8" t="s">
        <v>54</v>
      </c>
      <c r="C13" s="8" t="s">
        <v>326</v>
      </c>
      <c r="D13" s="388" t="s">
        <v>184</v>
      </c>
      <c r="E13" s="388" t="s">
        <v>262</v>
      </c>
      <c r="F13" s="9">
        <v>13</v>
      </c>
      <c r="G13" s="177">
        <v>3</v>
      </c>
      <c r="H13" s="177"/>
      <c r="I13" s="177"/>
      <c r="J13" s="177">
        <v>1</v>
      </c>
      <c r="K13" s="177">
        <v>10</v>
      </c>
      <c r="L13" s="177">
        <v>1</v>
      </c>
      <c r="M13" s="177"/>
      <c r="N13" s="177">
        <v>1</v>
      </c>
    </row>
    <row r="14" spans="1:14" s="118" customFormat="1" ht="13.5" x14ac:dyDescent="0.25">
      <c r="A14" s="387" t="s">
        <v>45</v>
      </c>
      <c r="B14" s="8" t="s">
        <v>44</v>
      </c>
      <c r="C14" s="8" t="s">
        <v>326</v>
      </c>
      <c r="D14" s="388" t="s">
        <v>186</v>
      </c>
      <c r="E14" s="388" t="s">
        <v>262</v>
      </c>
      <c r="F14" s="9">
        <v>14</v>
      </c>
      <c r="G14" s="177">
        <v>6</v>
      </c>
      <c r="H14" s="177"/>
      <c r="I14" s="177"/>
      <c r="J14" s="177">
        <v>3</v>
      </c>
      <c r="K14" s="177">
        <v>3</v>
      </c>
      <c r="L14" s="177"/>
      <c r="M14" s="177"/>
      <c r="N14" s="177">
        <v>1</v>
      </c>
    </row>
    <row r="15" spans="1:14" s="118" customFormat="1" ht="13.5" x14ac:dyDescent="0.25">
      <c r="A15" s="387" t="s">
        <v>63</v>
      </c>
      <c r="B15" s="8" t="s">
        <v>46</v>
      </c>
      <c r="C15" s="8" t="s">
        <v>326</v>
      </c>
      <c r="D15" s="388" t="s">
        <v>184</v>
      </c>
      <c r="E15" s="388" t="s">
        <v>262</v>
      </c>
      <c r="F15" s="9">
        <f t="shared" ref="F15:F40" si="2">SUM(G15:N15)</f>
        <v>15</v>
      </c>
      <c r="G15" s="177"/>
      <c r="H15" s="177"/>
      <c r="I15" s="177"/>
      <c r="J15" s="177"/>
      <c r="K15" s="177">
        <v>8</v>
      </c>
      <c r="L15" s="177">
        <v>7</v>
      </c>
      <c r="M15" s="177"/>
      <c r="N15" s="177"/>
    </row>
    <row r="16" spans="1:14" s="118" customFormat="1" ht="13.5" x14ac:dyDescent="0.25">
      <c r="A16" s="387" t="s">
        <v>276</v>
      </c>
      <c r="B16" s="8" t="s">
        <v>413</v>
      </c>
      <c r="C16" s="8" t="s">
        <v>326</v>
      </c>
      <c r="D16" s="388" t="s">
        <v>184</v>
      </c>
      <c r="E16" s="388"/>
      <c r="F16" s="9">
        <f t="shared" si="2"/>
        <v>4</v>
      </c>
      <c r="G16" s="177">
        <v>4</v>
      </c>
      <c r="H16" s="177"/>
      <c r="I16" s="177"/>
      <c r="J16" s="177"/>
      <c r="K16" s="177"/>
      <c r="L16" s="177"/>
      <c r="M16" s="177"/>
      <c r="N16" s="177"/>
    </row>
    <row r="17" spans="1:14" s="118" customFormat="1" ht="13.5" x14ac:dyDescent="0.25">
      <c r="A17" s="387" t="s">
        <v>77</v>
      </c>
      <c r="B17" s="8" t="s">
        <v>414</v>
      </c>
      <c r="C17" s="8" t="s">
        <v>326</v>
      </c>
      <c r="D17" s="388" t="s">
        <v>184</v>
      </c>
      <c r="E17" s="388" t="s">
        <v>262</v>
      </c>
      <c r="F17" s="9">
        <f t="shared" si="2"/>
        <v>3</v>
      </c>
      <c r="G17" s="177"/>
      <c r="H17" s="177"/>
      <c r="I17" s="177"/>
      <c r="J17" s="177"/>
      <c r="K17" s="177"/>
      <c r="L17" s="177"/>
      <c r="M17" s="177"/>
      <c r="N17" s="177">
        <v>3</v>
      </c>
    </row>
    <row r="18" spans="1:14" s="118" customFormat="1" ht="13.5" x14ac:dyDescent="0.25">
      <c r="A18" s="387" t="s">
        <v>312</v>
      </c>
      <c r="B18" s="8" t="s">
        <v>415</v>
      </c>
      <c r="C18" s="8" t="s">
        <v>326</v>
      </c>
      <c r="D18" s="388" t="s">
        <v>184</v>
      </c>
      <c r="E18" s="388" t="s">
        <v>262</v>
      </c>
      <c r="F18" s="9">
        <f t="shared" si="2"/>
        <v>3</v>
      </c>
      <c r="G18" s="177"/>
      <c r="H18" s="177">
        <f>H16</f>
        <v>0</v>
      </c>
      <c r="I18" s="177"/>
      <c r="J18" s="177"/>
      <c r="K18" s="177">
        <v>3</v>
      </c>
      <c r="L18" s="177"/>
      <c r="M18" s="177"/>
      <c r="N18" s="177"/>
    </row>
    <row r="19" spans="1:14" s="118" customFormat="1" ht="13.5" x14ac:dyDescent="0.25">
      <c r="A19" s="387" t="s">
        <v>71</v>
      </c>
      <c r="B19" s="8" t="s">
        <v>56</v>
      </c>
      <c r="C19" s="8" t="s">
        <v>326</v>
      </c>
      <c r="D19" s="388" t="s">
        <v>189</v>
      </c>
      <c r="E19" s="388" t="s">
        <v>262</v>
      </c>
      <c r="F19" s="9">
        <f t="shared" si="2"/>
        <v>8</v>
      </c>
      <c r="G19" s="177">
        <v>1</v>
      </c>
      <c r="H19" s="177">
        <f>H17</f>
        <v>0</v>
      </c>
      <c r="I19" s="177"/>
      <c r="J19" s="177"/>
      <c r="K19" s="177">
        <v>7</v>
      </c>
      <c r="L19" s="177"/>
      <c r="M19" s="177"/>
      <c r="N19" s="177"/>
    </row>
    <row r="20" spans="1:14" s="118" customFormat="1" ht="13.5" x14ac:dyDescent="0.25">
      <c r="A20" s="387" t="s">
        <v>69</v>
      </c>
      <c r="B20" s="8" t="s">
        <v>55</v>
      </c>
      <c r="C20" s="8" t="s">
        <v>326</v>
      </c>
      <c r="D20" s="388" t="s">
        <v>184</v>
      </c>
      <c r="E20" s="388" t="s">
        <v>262</v>
      </c>
      <c r="F20" s="9">
        <v>11</v>
      </c>
      <c r="G20" s="177"/>
      <c r="H20" s="177"/>
      <c r="I20" s="177"/>
      <c r="J20" s="177"/>
      <c r="K20" s="177">
        <v>9</v>
      </c>
      <c r="L20" s="177"/>
      <c r="M20" s="177"/>
      <c r="N20" s="177">
        <v>1</v>
      </c>
    </row>
    <row r="21" spans="1:14" s="118" customFormat="1" ht="13.5" x14ac:dyDescent="0.25">
      <c r="A21" s="387" t="s">
        <v>78</v>
      </c>
      <c r="B21" s="8" t="s">
        <v>79</v>
      </c>
      <c r="C21" s="8" t="s">
        <v>326</v>
      </c>
      <c r="D21" s="388" t="s">
        <v>184</v>
      </c>
      <c r="E21" s="388" t="s">
        <v>262</v>
      </c>
      <c r="F21" s="9">
        <f t="shared" si="2"/>
        <v>8</v>
      </c>
      <c r="G21" s="177"/>
      <c r="H21" s="177"/>
      <c r="I21" s="177"/>
      <c r="J21" s="177"/>
      <c r="K21" s="177">
        <v>5</v>
      </c>
      <c r="L21" s="177"/>
      <c r="M21" s="177"/>
      <c r="N21" s="177">
        <v>3</v>
      </c>
    </row>
    <row r="22" spans="1:14" s="118" customFormat="1" ht="13.5" x14ac:dyDescent="0.25">
      <c r="A22" s="387" t="s">
        <v>61</v>
      </c>
      <c r="B22" s="8" t="s">
        <v>50</v>
      </c>
      <c r="C22" s="8" t="s">
        <v>326</v>
      </c>
      <c r="D22" s="388" t="s">
        <v>184</v>
      </c>
      <c r="E22" s="388" t="s">
        <v>262</v>
      </c>
      <c r="F22" s="9">
        <f t="shared" si="2"/>
        <v>8</v>
      </c>
      <c r="G22" s="177"/>
      <c r="H22" s="177"/>
      <c r="I22" s="177"/>
      <c r="J22" s="177"/>
      <c r="K22" s="177">
        <v>3</v>
      </c>
      <c r="L22" s="177">
        <v>2</v>
      </c>
      <c r="M22" s="177">
        <v>2</v>
      </c>
      <c r="N22" s="177">
        <v>1</v>
      </c>
    </row>
    <row r="23" spans="1:14" s="118" customFormat="1" ht="13.5" x14ac:dyDescent="0.25">
      <c r="A23" s="387" t="s">
        <v>446</v>
      </c>
      <c r="B23" s="8" t="s">
        <v>445</v>
      </c>
      <c r="C23" s="8" t="s">
        <v>326</v>
      </c>
      <c r="D23" s="388" t="s">
        <v>184</v>
      </c>
      <c r="E23" s="388" t="s">
        <v>443</v>
      </c>
      <c r="F23" s="9">
        <f t="shared" si="2"/>
        <v>5</v>
      </c>
      <c r="G23" s="177">
        <v>1</v>
      </c>
      <c r="H23" s="177"/>
      <c r="I23" s="177"/>
      <c r="J23" s="177">
        <v>3</v>
      </c>
      <c r="K23" s="177">
        <v>1</v>
      </c>
      <c r="L23" s="177"/>
      <c r="M23" s="177"/>
      <c r="N23" s="177"/>
    </row>
    <row r="24" spans="1:14" s="118" customFormat="1" ht="13.5" x14ac:dyDescent="0.25">
      <c r="A24" s="387" t="s">
        <v>442</v>
      </c>
      <c r="B24" s="8" t="s">
        <v>441</v>
      </c>
      <c r="C24" s="8" t="s">
        <v>326</v>
      </c>
      <c r="D24" s="388" t="s">
        <v>182</v>
      </c>
      <c r="E24" s="388" t="s">
        <v>262</v>
      </c>
      <c r="F24" s="9">
        <f>SUM(G24:N24)</f>
        <v>3</v>
      </c>
      <c r="G24" s="177">
        <v>3</v>
      </c>
      <c r="H24" s="177"/>
      <c r="I24" s="177"/>
      <c r="J24" s="177"/>
      <c r="K24" s="177"/>
      <c r="L24" s="177"/>
      <c r="M24" s="177"/>
      <c r="N24" s="177"/>
    </row>
    <row r="25" spans="1:14" s="118" customFormat="1" ht="13.5" x14ac:dyDescent="0.25">
      <c r="A25" s="387" t="s">
        <v>82</v>
      </c>
      <c r="B25" s="8" t="s">
        <v>84</v>
      </c>
      <c r="C25" s="8" t="s">
        <v>326</v>
      </c>
      <c r="D25" s="388" t="s">
        <v>183</v>
      </c>
      <c r="E25" s="388" t="s">
        <v>262</v>
      </c>
      <c r="F25" s="9">
        <f t="shared" si="2"/>
        <v>1</v>
      </c>
      <c r="G25" s="177"/>
      <c r="H25" s="177"/>
      <c r="I25" s="177"/>
      <c r="J25" s="177"/>
      <c r="K25" s="177"/>
      <c r="L25" s="177"/>
      <c r="M25" s="177"/>
      <c r="N25" s="177">
        <v>1</v>
      </c>
    </row>
    <row r="26" spans="1:14" s="118" customFormat="1" ht="13.5" x14ac:dyDescent="0.25">
      <c r="A26" s="387" t="s">
        <v>308</v>
      </c>
      <c r="B26" s="8" t="s">
        <v>307</v>
      </c>
      <c r="C26" s="8" t="s">
        <v>326</v>
      </c>
      <c r="D26" s="388" t="s">
        <v>184</v>
      </c>
      <c r="E26" s="388" t="s">
        <v>262</v>
      </c>
      <c r="F26" s="9">
        <f t="shared" si="2"/>
        <v>1</v>
      </c>
      <c r="G26" s="177"/>
      <c r="H26" s="177"/>
      <c r="I26" s="177">
        <v>1</v>
      </c>
      <c r="J26" s="177"/>
      <c r="K26" s="177"/>
      <c r="L26" s="177"/>
      <c r="M26" s="177"/>
      <c r="N26" s="177"/>
    </row>
    <row r="27" spans="1:14" s="118" customFormat="1" ht="13.5" x14ac:dyDescent="0.25">
      <c r="A27" s="387" t="s">
        <v>87</v>
      </c>
      <c r="B27" s="8" t="s">
        <v>86</v>
      </c>
      <c r="C27" s="8" t="s">
        <v>326</v>
      </c>
      <c r="D27" s="388" t="s">
        <v>183</v>
      </c>
      <c r="E27" s="388" t="s">
        <v>261</v>
      </c>
      <c r="F27" s="9">
        <f t="shared" si="2"/>
        <v>1</v>
      </c>
      <c r="G27" s="177">
        <v>1</v>
      </c>
      <c r="H27" s="177"/>
      <c r="I27" s="177"/>
      <c r="J27" s="177"/>
      <c r="K27" s="177"/>
      <c r="L27" s="177"/>
      <c r="M27" s="177"/>
      <c r="N27" s="177"/>
    </row>
    <row r="28" spans="1:14" s="118" customFormat="1" ht="27" x14ac:dyDescent="0.25">
      <c r="A28" s="387" t="s">
        <v>72</v>
      </c>
      <c r="B28" s="8" t="s">
        <v>59</v>
      </c>
      <c r="C28" s="8" t="s">
        <v>326</v>
      </c>
      <c r="D28" s="388" t="s">
        <v>300</v>
      </c>
      <c r="E28" s="388" t="s">
        <v>261</v>
      </c>
      <c r="F28" s="9">
        <f t="shared" si="2"/>
        <v>4</v>
      </c>
      <c r="G28" s="177"/>
      <c r="H28" s="177">
        <v>2</v>
      </c>
      <c r="I28" s="177"/>
      <c r="J28" s="177"/>
      <c r="K28" s="177"/>
      <c r="L28" s="177">
        <v>2</v>
      </c>
      <c r="M28" s="177"/>
      <c r="N28" s="177"/>
    </row>
    <row r="29" spans="1:14" s="118" customFormat="1" ht="13.5" x14ac:dyDescent="0.25">
      <c r="A29" s="387" t="s">
        <v>66</v>
      </c>
      <c r="B29" s="8" t="s">
        <v>49</v>
      </c>
      <c r="C29" s="8" t="s">
        <v>326</v>
      </c>
      <c r="D29" s="388" t="s">
        <v>186</v>
      </c>
      <c r="E29" s="388" t="s">
        <v>262</v>
      </c>
      <c r="F29" s="9">
        <f t="shared" si="2"/>
        <v>2</v>
      </c>
      <c r="G29" s="177"/>
      <c r="H29" s="177"/>
      <c r="I29" s="177"/>
      <c r="J29" s="177"/>
      <c r="K29" s="177">
        <v>1</v>
      </c>
      <c r="L29" s="177"/>
      <c r="M29" s="177"/>
      <c r="N29" s="177">
        <v>1</v>
      </c>
    </row>
    <row r="30" spans="1:14" s="118" customFormat="1" ht="13.5" x14ac:dyDescent="0.25">
      <c r="A30" s="387" t="s">
        <v>70</v>
      </c>
      <c r="B30" s="8" t="s">
        <v>57</v>
      </c>
      <c r="C30" s="8" t="s">
        <v>326</v>
      </c>
      <c r="D30" s="388" t="s">
        <v>184</v>
      </c>
      <c r="E30" s="388" t="s">
        <v>261</v>
      </c>
      <c r="F30" s="9">
        <f t="shared" si="2"/>
        <v>6</v>
      </c>
      <c r="G30" s="177"/>
      <c r="H30" s="177"/>
      <c r="I30" s="177"/>
      <c r="J30" s="177"/>
      <c r="K30" s="177"/>
      <c r="L30" s="177">
        <v>3</v>
      </c>
      <c r="M30" s="177"/>
      <c r="N30" s="177">
        <v>3</v>
      </c>
    </row>
    <row r="31" spans="1:14" s="118" customFormat="1" ht="13.5" x14ac:dyDescent="0.25">
      <c r="A31" s="387" t="s">
        <v>83</v>
      </c>
      <c r="B31" s="8" t="s">
        <v>53</v>
      </c>
      <c r="C31" s="8" t="s">
        <v>326</v>
      </c>
      <c r="D31" s="388" t="s">
        <v>182</v>
      </c>
      <c r="E31" s="388" t="s">
        <v>261</v>
      </c>
      <c r="F31" s="9">
        <f t="shared" si="2"/>
        <v>2</v>
      </c>
      <c r="G31" s="177"/>
      <c r="H31" s="177"/>
      <c r="I31" s="177"/>
      <c r="J31" s="177"/>
      <c r="K31" s="177"/>
      <c r="L31" s="177"/>
      <c r="M31" s="177"/>
      <c r="N31" s="177">
        <v>2</v>
      </c>
    </row>
    <row r="32" spans="1:14" s="118" customFormat="1" ht="13.5" x14ac:dyDescent="0.25">
      <c r="A32" s="387" t="s">
        <v>65</v>
      </c>
      <c r="B32" s="8" t="s">
        <v>48</v>
      </c>
      <c r="C32" s="8" t="s">
        <v>326</v>
      </c>
      <c r="D32" s="388" t="s">
        <v>184</v>
      </c>
      <c r="E32" s="388" t="s">
        <v>262</v>
      </c>
      <c r="F32" s="9">
        <f t="shared" si="2"/>
        <v>5</v>
      </c>
      <c r="G32" s="177"/>
      <c r="H32" s="177"/>
      <c r="I32" s="177"/>
      <c r="J32" s="177">
        <v>5</v>
      </c>
      <c r="K32" s="177"/>
      <c r="L32" s="177"/>
      <c r="M32" s="177"/>
      <c r="N32" s="177"/>
    </row>
    <row r="33" spans="1:14" s="118" customFormat="1" ht="13.5" x14ac:dyDescent="0.25">
      <c r="A33" s="387" t="s">
        <v>278</v>
      </c>
      <c r="B33" s="8" t="s">
        <v>277</v>
      </c>
      <c r="C33" s="8" t="s">
        <v>326</v>
      </c>
      <c r="D33" s="388" t="s">
        <v>184</v>
      </c>
      <c r="E33" s="388" t="s">
        <v>262</v>
      </c>
      <c r="F33" s="9">
        <f t="shared" si="2"/>
        <v>3</v>
      </c>
      <c r="G33" s="177"/>
      <c r="H33" s="177"/>
      <c r="I33" s="177">
        <v>3</v>
      </c>
      <c r="J33" s="177"/>
      <c r="K33" s="177"/>
      <c r="L33" s="177"/>
      <c r="M33" s="177"/>
      <c r="N33" s="177"/>
    </row>
    <row r="34" spans="1:14" s="118" customFormat="1" ht="13.5" x14ac:dyDescent="0.25">
      <c r="A34" s="387" t="s">
        <v>67</v>
      </c>
      <c r="B34" s="8" t="s">
        <v>51</v>
      </c>
      <c r="C34" s="8" t="s">
        <v>326</v>
      </c>
      <c r="D34" s="388" t="s">
        <v>184</v>
      </c>
      <c r="E34" s="388" t="s">
        <v>262</v>
      </c>
      <c r="F34" s="9">
        <f t="shared" si="2"/>
        <v>28</v>
      </c>
      <c r="G34" s="177">
        <v>17</v>
      </c>
      <c r="H34" s="177"/>
      <c r="I34" s="177"/>
      <c r="J34" s="177"/>
      <c r="K34" s="177">
        <v>8</v>
      </c>
      <c r="L34" s="177">
        <v>3</v>
      </c>
      <c r="M34" s="177"/>
      <c r="N34" s="177"/>
    </row>
    <row r="35" spans="1:14" s="118" customFormat="1" ht="13.5" x14ac:dyDescent="0.25">
      <c r="A35" s="387" t="s">
        <v>68</v>
      </c>
      <c r="B35" s="8" t="s">
        <v>52</v>
      </c>
      <c r="C35" s="8" t="s">
        <v>326</v>
      </c>
      <c r="D35" s="388" t="s">
        <v>184</v>
      </c>
      <c r="E35" s="388" t="s">
        <v>261</v>
      </c>
      <c r="F35" s="9">
        <f t="shared" si="2"/>
        <v>18</v>
      </c>
      <c r="G35" s="177"/>
      <c r="H35" s="177"/>
      <c r="I35" s="177"/>
      <c r="J35" s="177"/>
      <c r="K35" s="177">
        <v>5</v>
      </c>
      <c r="L35" s="177">
        <v>13</v>
      </c>
      <c r="M35" s="177"/>
      <c r="N35" s="177"/>
    </row>
    <row r="36" spans="1:14" s="118" customFormat="1" ht="13.5" x14ac:dyDescent="0.25">
      <c r="A36" s="387" t="s">
        <v>80</v>
      </c>
      <c r="B36" s="8" t="s">
        <v>81</v>
      </c>
      <c r="C36" s="8" t="s">
        <v>326</v>
      </c>
      <c r="D36" s="388" t="s">
        <v>182</v>
      </c>
      <c r="E36" s="388" t="s">
        <v>262</v>
      </c>
      <c r="F36" s="9">
        <f t="shared" si="2"/>
        <v>3</v>
      </c>
      <c r="G36" s="177"/>
      <c r="H36" s="177"/>
      <c r="I36" s="177">
        <v>1</v>
      </c>
      <c r="J36" s="177"/>
      <c r="K36" s="177">
        <v>1</v>
      </c>
      <c r="L36" s="177"/>
      <c r="M36" s="177"/>
      <c r="N36" s="177">
        <v>1</v>
      </c>
    </row>
    <row r="37" spans="1:14" s="118" customFormat="1" ht="13.5" x14ac:dyDescent="0.25">
      <c r="A37" s="387" t="s">
        <v>95</v>
      </c>
      <c r="B37" s="8" t="s">
        <v>96</v>
      </c>
      <c r="C37" s="8" t="s">
        <v>326</v>
      </c>
      <c r="D37" s="388" t="s">
        <v>184</v>
      </c>
      <c r="E37" s="388" t="s">
        <v>262</v>
      </c>
      <c r="F37" s="9">
        <f t="shared" si="2"/>
        <v>1</v>
      </c>
      <c r="G37" s="177"/>
      <c r="H37" s="177"/>
      <c r="I37" s="177"/>
      <c r="J37" s="177"/>
      <c r="K37" s="177">
        <v>1</v>
      </c>
      <c r="L37" s="177"/>
      <c r="M37" s="177"/>
      <c r="N37" s="177"/>
    </row>
    <row r="38" spans="1:14" s="118" customFormat="1" ht="13.5" x14ac:dyDescent="0.25">
      <c r="A38" s="387" t="s">
        <v>92</v>
      </c>
      <c r="B38" s="8" t="s">
        <v>91</v>
      </c>
      <c r="C38" s="8" t="s">
        <v>326</v>
      </c>
      <c r="D38" s="388" t="s">
        <v>183</v>
      </c>
      <c r="E38" s="388" t="s">
        <v>262</v>
      </c>
      <c r="F38" s="9">
        <f t="shared" si="2"/>
        <v>9</v>
      </c>
      <c r="G38" s="177">
        <v>2</v>
      </c>
      <c r="H38" s="177"/>
      <c r="I38" s="177"/>
      <c r="J38" s="177">
        <v>1</v>
      </c>
      <c r="K38" s="177">
        <v>6</v>
      </c>
      <c r="L38" s="177"/>
      <c r="M38" s="177"/>
      <c r="N38" s="177"/>
    </row>
    <row r="39" spans="1:14" s="118" customFormat="1" ht="13.5" x14ac:dyDescent="0.25">
      <c r="A39" s="387" t="s">
        <v>64</v>
      </c>
      <c r="B39" s="8" t="s">
        <v>47</v>
      </c>
      <c r="C39" s="8" t="s">
        <v>326</v>
      </c>
      <c r="D39" s="388" t="s">
        <v>182</v>
      </c>
      <c r="E39" s="388" t="s">
        <v>262</v>
      </c>
      <c r="F39" s="9">
        <f t="shared" si="2"/>
        <v>62</v>
      </c>
      <c r="G39" s="177">
        <v>2</v>
      </c>
      <c r="H39" s="177">
        <v>8</v>
      </c>
      <c r="I39" s="177">
        <v>21</v>
      </c>
      <c r="J39" s="177">
        <v>4</v>
      </c>
      <c r="K39" s="177">
        <v>24</v>
      </c>
      <c r="L39" s="177">
        <v>2</v>
      </c>
      <c r="M39" s="177"/>
      <c r="N39" s="177">
        <v>1</v>
      </c>
    </row>
    <row r="40" spans="1:14" s="118" customFormat="1" ht="13.5" x14ac:dyDescent="0.25">
      <c r="A40" s="387" t="s">
        <v>90</v>
      </c>
      <c r="B40" s="8" t="s">
        <v>89</v>
      </c>
      <c r="C40" s="8" t="s">
        <v>326</v>
      </c>
      <c r="D40" s="388" t="s">
        <v>182</v>
      </c>
      <c r="E40" s="388" t="s">
        <v>262</v>
      </c>
      <c r="F40" s="9">
        <f t="shared" si="2"/>
        <v>1</v>
      </c>
      <c r="G40" s="177"/>
      <c r="H40" s="177"/>
      <c r="I40" s="177"/>
      <c r="J40" s="177"/>
      <c r="K40" s="177">
        <v>1</v>
      </c>
      <c r="L40" s="177"/>
      <c r="M40" s="177"/>
      <c r="N40" s="177"/>
    </row>
    <row r="41" spans="1:14" s="409" customFormat="1" ht="13.5" x14ac:dyDescent="0.25">
      <c r="A41" s="404"/>
      <c r="B41" s="405"/>
      <c r="C41" s="405"/>
      <c r="D41" s="406"/>
      <c r="E41" s="406"/>
      <c r="F41" s="407">
        <f t="shared" ref="F41:N41" si="3">SUM(F13:F40)</f>
        <v>242</v>
      </c>
      <c r="G41" s="408">
        <f t="shared" si="3"/>
        <v>40</v>
      </c>
      <c r="H41" s="408">
        <f t="shared" si="3"/>
        <v>10</v>
      </c>
      <c r="I41" s="408">
        <f t="shared" si="3"/>
        <v>26</v>
      </c>
      <c r="J41" s="408">
        <f t="shared" si="3"/>
        <v>17</v>
      </c>
      <c r="K41" s="408">
        <f t="shared" si="3"/>
        <v>96</v>
      </c>
      <c r="L41" s="408">
        <f t="shared" si="3"/>
        <v>33</v>
      </c>
      <c r="M41" s="408">
        <f t="shared" si="3"/>
        <v>2</v>
      </c>
      <c r="N41" s="408">
        <f t="shared" si="3"/>
        <v>19</v>
      </c>
    </row>
    <row r="42" spans="1:14" s="118" customFormat="1" ht="13.5" x14ac:dyDescent="0.25">
      <c r="A42" s="387"/>
      <c r="B42" s="8" t="s">
        <v>238</v>
      </c>
      <c r="C42" s="8"/>
      <c r="D42" s="388"/>
      <c r="E42" s="388"/>
      <c r="F42" s="9"/>
      <c r="G42" s="177"/>
      <c r="H42" s="177"/>
      <c r="I42" s="177"/>
      <c r="J42" s="177"/>
      <c r="K42" s="177"/>
      <c r="L42" s="177"/>
      <c r="M42" s="177"/>
      <c r="N42" s="177"/>
    </row>
    <row r="43" spans="1:14" s="118" customFormat="1" ht="13.5" x14ac:dyDescent="0.25">
      <c r="A43" s="387" t="s">
        <v>280</v>
      </c>
      <c r="B43" s="8" t="s">
        <v>279</v>
      </c>
      <c r="C43" s="8" t="s">
        <v>202</v>
      </c>
      <c r="D43" s="388" t="s">
        <v>247</v>
      </c>
      <c r="E43" s="388" t="s">
        <v>263</v>
      </c>
      <c r="F43" s="9">
        <f t="shared" ref="F43:F63" si="4">SUM(G43:N43)</f>
        <v>3</v>
      </c>
      <c r="G43" s="177"/>
      <c r="H43" s="177"/>
      <c r="I43" s="177"/>
      <c r="J43" s="177"/>
      <c r="K43" s="177">
        <v>2</v>
      </c>
      <c r="L43" s="177">
        <v>1</v>
      </c>
      <c r="M43" s="177"/>
      <c r="N43" s="177"/>
    </row>
    <row r="44" spans="1:14" s="118" customFormat="1" ht="13.5" x14ac:dyDescent="0.25">
      <c r="A44" s="387" t="s">
        <v>282</v>
      </c>
      <c r="B44" s="8" t="s">
        <v>244</v>
      </c>
      <c r="C44" s="8" t="s">
        <v>202</v>
      </c>
      <c r="D44" s="388" t="s">
        <v>247</v>
      </c>
      <c r="E44" s="388" t="s">
        <v>263</v>
      </c>
      <c r="F44" s="9">
        <f t="shared" si="4"/>
        <v>4</v>
      </c>
      <c r="G44" s="177"/>
      <c r="H44" s="177"/>
      <c r="I44" s="177">
        <v>1</v>
      </c>
      <c r="J44" s="177"/>
      <c r="K44" s="177">
        <v>2</v>
      </c>
      <c r="L44" s="177"/>
      <c r="M44" s="177"/>
      <c r="N44" s="177">
        <v>1</v>
      </c>
    </row>
    <row r="45" spans="1:14" s="118" customFormat="1" ht="13.5" x14ac:dyDescent="0.25">
      <c r="A45" s="387" t="s">
        <v>295</v>
      </c>
      <c r="B45" s="8" t="s">
        <v>294</v>
      </c>
      <c r="C45" s="8" t="s">
        <v>202</v>
      </c>
      <c r="D45" s="388" t="s">
        <v>247</v>
      </c>
      <c r="E45" s="388" t="s">
        <v>263</v>
      </c>
      <c r="F45" s="9">
        <f t="shared" si="4"/>
        <v>2</v>
      </c>
      <c r="G45" s="177"/>
      <c r="H45" s="177"/>
      <c r="I45" s="177"/>
      <c r="J45" s="177"/>
      <c r="K45" s="177"/>
      <c r="L45" s="177"/>
      <c r="M45" s="177">
        <v>2</v>
      </c>
      <c r="N45" s="177"/>
    </row>
    <row r="46" spans="1:14" s="118" customFormat="1" ht="13.5" x14ac:dyDescent="0.25">
      <c r="A46" s="387" t="s">
        <v>281</v>
      </c>
      <c r="B46" s="8" t="s">
        <v>246</v>
      </c>
      <c r="C46" s="8" t="s">
        <v>202</v>
      </c>
      <c r="D46" s="388" t="s">
        <v>247</v>
      </c>
      <c r="E46" s="388" t="s">
        <v>263</v>
      </c>
      <c r="F46" s="9">
        <v>2</v>
      </c>
      <c r="G46" s="177">
        <v>6</v>
      </c>
      <c r="H46" s="177"/>
      <c r="I46" s="177"/>
      <c r="J46" s="177"/>
      <c r="K46" s="177">
        <v>1</v>
      </c>
      <c r="L46" s="177"/>
      <c r="M46" s="177"/>
      <c r="N46" s="177">
        <v>1</v>
      </c>
    </row>
    <row r="47" spans="1:14" s="118" customFormat="1" ht="13.5" x14ac:dyDescent="0.25">
      <c r="A47" s="387" t="s">
        <v>33</v>
      </c>
      <c r="B47" s="8" t="s">
        <v>240</v>
      </c>
      <c r="C47" s="8" t="s">
        <v>202</v>
      </c>
      <c r="D47" s="388" t="s">
        <v>247</v>
      </c>
      <c r="E47" s="388" t="s">
        <v>263</v>
      </c>
      <c r="F47" s="9">
        <f t="shared" si="4"/>
        <v>13</v>
      </c>
      <c r="G47" s="177">
        <v>12</v>
      </c>
      <c r="H47" s="177"/>
      <c r="I47" s="177"/>
      <c r="J47" s="177"/>
      <c r="K47" s="177"/>
      <c r="L47" s="177">
        <v>1</v>
      </c>
      <c r="M47" s="177"/>
      <c r="N47" s="177"/>
    </row>
    <row r="48" spans="1:14" s="118" customFormat="1" ht="13.5" x14ac:dyDescent="0.25">
      <c r="A48" s="387" t="s">
        <v>285</v>
      </c>
      <c r="B48" s="8" t="s">
        <v>286</v>
      </c>
      <c r="C48" s="8" t="s">
        <v>202</v>
      </c>
      <c r="D48" s="388" t="s">
        <v>247</v>
      </c>
      <c r="E48" s="388" t="s">
        <v>263</v>
      </c>
      <c r="F48" s="9">
        <f t="shared" si="4"/>
        <v>3</v>
      </c>
      <c r="G48" s="177"/>
      <c r="H48" s="177"/>
      <c r="I48" s="177"/>
      <c r="J48" s="177"/>
      <c r="K48" s="177">
        <v>3</v>
      </c>
      <c r="L48" s="177"/>
      <c r="M48" s="177"/>
      <c r="N48" s="177"/>
    </row>
    <row r="49" spans="1:14" s="118" customFormat="1" ht="13.5" x14ac:dyDescent="0.25">
      <c r="A49" s="387" t="s">
        <v>311</v>
      </c>
      <c r="B49" s="8" t="s">
        <v>310</v>
      </c>
      <c r="C49" s="8" t="s">
        <v>202</v>
      </c>
      <c r="D49" s="388" t="s">
        <v>266</v>
      </c>
      <c r="E49" s="388" t="s">
        <v>263</v>
      </c>
      <c r="F49" s="9">
        <f t="shared" si="4"/>
        <v>2</v>
      </c>
      <c r="G49" s="177"/>
      <c r="H49" s="177"/>
      <c r="I49" s="177">
        <v>1</v>
      </c>
      <c r="J49" s="177"/>
      <c r="K49" s="177">
        <v>1</v>
      </c>
      <c r="L49" s="177"/>
      <c r="M49" s="177"/>
      <c r="N49" s="177"/>
    </row>
    <row r="50" spans="1:14" s="118" customFormat="1" ht="13.5" x14ac:dyDescent="0.25">
      <c r="A50" s="387" t="s">
        <v>288</v>
      </c>
      <c r="B50" s="8" t="s">
        <v>243</v>
      </c>
      <c r="C50" s="8" t="s">
        <v>202</v>
      </c>
      <c r="D50" s="388" t="s">
        <v>247</v>
      </c>
      <c r="E50" s="388" t="s">
        <v>263</v>
      </c>
      <c r="F50" s="9">
        <f t="shared" si="4"/>
        <v>1</v>
      </c>
      <c r="G50" s="177"/>
      <c r="H50" s="177"/>
      <c r="I50" s="177"/>
      <c r="J50" s="177"/>
      <c r="K50" s="177"/>
      <c r="L50" s="177"/>
      <c r="M50" s="177"/>
      <c r="N50" s="177">
        <v>1</v>
      </c>
    </row>
    <row r="51" spans="1:14" s="118" customFormat="1" ht="13.5" x14ac:dyDescent="0.25">
      <c r="A51" s="387" t="s">
        <v>287</v>
      </c>
      <c r="B51" s="8" t="s">
        <v>245</v>
      </c>
      <c r="C51" s="8" t="s">
        <v>202</v>
      </c>
      <c r="D51" s="388" t="s">
        <v>247</v>
      </c>
      <c r="E51" s="388" t="s">
        <v>263</v>
      </c>
      <c r="F51" s="9">
        <f t="shared" si="4"/>
        <v>5</v>
      </c>
      <c r="G51" s="177"/>
      <c r="H51" s="177"/>
      <c r="I51" s="177"/>
      <c r="J51" s="177"/>
      <c r="K51" s="177"/>
      <c r="L51" s="177">
        <v>5</v>
      </c>
      <c r="M51" s="177"/>
      <c r="N51" s="177"/>
    </row>
    <row r="52" spans="1:14" s="118" customFormat="1" ht="13.5" x14ac:dyDescent="0.25">
      <c r="A52" s="387" t="s">
        <v>290</v>
      </c>
      <c r="B52" s="8" t="s">
        <v>289</v>
      </c>
      <c r="C52" s="8" t="s">
        <v>202</v>
      </c>
      <c r="D52" s="388" t="s">
        <v>247</v>
      </c>
      <c r="E52" s="388" t="s">
        <v>263</v>
      </c>
      <c r="F52" s="9">
        <f t="shared" si="4"/>
        <v>5</v>
      </c>
      <c r="G52" s="177"/>
      <c r="H52" s="177"/>
      <c r="I52" s="177">
        <v>3</v>
      </c>
      <c r="J52" s="177"/>
      <c r="K52" s="177"/>
      <c r="L52" s="177"/>
      <c r="M52" s="177">
        <v>2</v>
      </c>
      <c r="N52" s="177"/>
    </row>
    <row r="53" spans="1:14" s="118" customFormat="1" ht="13.5" x14ac:dyDescent="0.25">
      <c r="A53" s="387" t="s">
        <v>291</v>
      </c>
      <c r="B53" s="8" t="s">
        <v>241</v>
      </c>
      <c r="C53" s="8" t="s">
        <v>202</v>
      </c>
      <c r="D53" s="388" t="s">
        <v>247</v>
      </c>
      <c r="E53" s="388" t="s">
        <v>263</v>
      </c>
      <c r="F53" s="9">
        <f t="shared" si="4"/>
        <v>2</v>
      </c>
      <c r="G53" s="177"/>
      <c r="H53" s="177"/>
      <c r="I53" s="177"/>
      <c r="J53" s="177"/>
      <c r="K53" s="177"/>
      <c r="L53" s="177"/>
      <c r="M53" s="177">
        <v>2</v>
      </c>
      <c r="N53" s="177"/>
    </row>
    <row r="54" spans="1:14" s="118" customFormat="1" ht="13.5" x14ac:dyDescent="0.25">
      <c r="A54" s="387" t="s">
        <v>305</v>
      </c>
      <c r="B54" s="8" t="s">
        <v>304</v>
      </c>
      <c r="C54" s="8" t="s">
        <v>202</v>
      </c>
      <c r="D54" s="388" t="s">
        <v>247</v>
      </c>
      <c r="E54" s="388" t="s">
        <v>263</v>
      </c>
      <c r="F54" s="9">
        <f t="shared" si="4"/>
        <v>2</v>
      </c>
      <c r="G54" s="177"/>
      <c r="H54" s="177"/>
      <c r="I54" s="177">
        <v>2</v>
      </c>
      <c r="J54" s="177"/>
      <c r="K54" s="177"/>
      <c r="L54" s="177"/>
      <c r="M54" s="177"/>
      <c r="N54" s="177"/>
    </row>
    <row r="55" spans="1:14" s="118" customFormat="1" ht="13.5" x14ac:dyDescent="0.25">
      <c r="A55" s="387" t="s">
        <v>284</v>
      </c>
      <c r="B55" s="8" t="s">
        <v>309</v>
      </c>
      <c r="C55" s="8" t="s">
        <v>202</v>
      </c>
      <c r="D55" s="388" t="s">
        <v>247</v>
      </c>
      <c r="E55" s="388" t="s">
        <v>263</v>
      </c>
      <c r="F55" s="9">
        <f t="shared" si="4"/>
        <v>2</v>
      </c>
      <c r="G55" s="177"/>
      <c r="H55" s="177"/>
      <c r="I55" s="177"/>
      <c r="J55" s="177"/>
      <c r="K55" s="177">
        <v>2</v>
      </c>
      <c r="L55" s="177"/>
      <c r="M55" s="177"/>
      <c r="N55" s="177"/>
    </row>
    <row r="56" spans="1:14" s="118" customFormat="1" ht="13.5" x14ac:dyDescent="0.25">
      <c r="A56" s="387" t="s">
        <v>303</v>
      </c>
      <c r="B56" s="8" t="s">
        <v>302</v>
      </c>
      <c r="C56" s="8" t="s">
        <v>202</v>
      </c>
      <c r="D56" s="388" t="s">
        <v>247</v>
      </c>
      <c r="E56" s="388" t="s">
        <v>263</v>
      </c>
      <c r="F56" s="9">
        <f t="shared" si="4"/>
        <v>4</v>
      </c>
      <c r="G56" s="177"/>
      <c r="H56" s="177"/>
      <c r="I56" s="177">
        <v>2</v>
      </c>
      <c r="J56" s="177">
        <v>2</v>
      </c>
      <c r="K56" s="177"/>
      <c r="L56" s="177"/>
      <c r="M56" s="177"/>
      <c r="N56" s="177"/>
    </row>
    <row r="57" spans="1:14" s="118" customFormat="1" ht="13.5" x14ac:dyDescent="0.25">
      <c r="A57" s="387" t="s">
        <v>283</v>
      </c>
      <c r="B57" s="8" t="s">
        <v>239</v>
      </c>
      <c r="C57" s="8" t="s">
        <v>202</v>
      </c>
      <c r="D57" s="388" t="s">
        <v>247</v>
      </c>
      <c r="E57" s="388" t="s">
        <v>263</v>
      </c>
      <c r="F57" s="9">
        <f t="shared" si="4"/>
        <v>7</v>
      </c>
      <c r="G57" s="177"/>
      <c r="H57" s="177"/>
      <c r="I57" s="177">
        <v>2</v>
      </c>
      <c r="J57" s="177">
        <v>3</v>
      </c>
      <c r="K57" s="177">
        <v>2</v>
      </c>
      <c r="L57" s="177"/>
      <c r="M57" s="177"/>
      <c r="N57" s="177"/>
    </row>
    <row r="58" spans="1:14" s="118" customFormat="1" ht="13.5" x14ac:dyDescent="0.25">
      <c r="A58" s="387" t="s">
        <v>116</v>
      </c>
      <c r="B58" s="8" t="s">
        <v>242</v>
      </c>
      <c r="C58" s="8" t="s">
        <v>202</v>
      </c>
      <c r="D58" s="388" t="s">
        <v>247</v>
      </c>
      <c r="E58" s="388" t="s">
        <v>263</v>
      </c>
      <c r="F58" s="9">
        <f t="shared" si="4"/>
        <v>1</v>
      </c>
      <c r="G58" s="177"/>
      <c r="H58" s="177"/>
      <c r="I58" s="177"/>
      <c r="J58" s="177"/>
      <c r="K58" s="177">
        <v>1</v>
      </c>
      <c r="L58" s="177"/>
      <c r="M58" s="177"/>
      <c r="N58" s="177"/>
    </row>
    <row r="59" spans="1:14" s="118" customFormat="1" ht="13.5" x14ac:dyDescent="0.25">
      <c r="A59" s="387" t="s">
        <v>97</v>
      </c>
      <c r="B59" s="8" t="s">
        <v>98</v>
      </c>
      <c r="C59" s="8" t="s">
        <v>202</v>
      </c>
      <c r="D59" s="388" t="s">
        <v>247</v>
      </c>
      <c r="E59" s="388" t="s">
        <v>263</v>
      </c>
      <c r="F59" s="9">
        <f t="shared" si="4"/>
        <v>4</v>
      </c>
      <c r="G59" s="177"/>
      <c r="H59" s="177">
        <v>4</v>
      </c>
      <c r="I59" s="177"/>
      <c r="J59" s="177"/>
      <c r="K59" s="177"/>
      <c r="L59" s="177"/>
      <c r="M59" s="177"/>
      <c r="N59" s="177"/>
    </row>
    <row r="60" spans="1:14" s="118" customFormat="1" ht="13.5" x14ac:dyDescent="0.25">
      <c r="A60" s="10" t="s">
        <v>100</v>
      </c>
      <c r="B60" s="10" t="s">
        <v>108</v>
      </c>
      <c r="C60" s="8" t="s">
        <v>202</v>
      </c>
      <c r="D60" s="388" t="s">
        <v>247</v>
      </c>
      <c r="E60" s="388" t="s">
        <v>263</v>
      </c>
      <c r="F60" s="9">
        <f t="shared" si="4"/>
        <v>3</v>
      </c>
      <c r="G60" s="177"/>
      <c r="H60" s="177"/>
      <c r="I60" s="177">
        <v>3</v>
      </c>
      <c r="J60" s="177"/>
      <c r="K60" s="177"/>
      <c r="L60" s="177"/>
      <c r="M60" s="177"/>
      <c r="N60" s="177"/>
    </row>
    <row r="61" spans="1:14" s="118" customFormat="1" ht="13.5" x14ac:dyDescent="0.25">
      <c r="A61" s="387" t="s">
        <v>297</v>
      </c>
      <c r="B61" s="8" t="s">
        <v>296</v>
      </c>
      <c r="C61" s="8" t="s">
        <v>202</v>
      </c>
      <c r="D61" s="388" t="s">
        <v>247</v>
      </c>
      <c r="E61" s="388" t="s">
        <v>263</v>
      </c>
      <c r="F61" s="9">
        <f t="shared" si="4"/>
        <v>3</v>
      </c>
      <c r="G61" s="177"/>
      <c r="H61" s="177">
        <v>3</v>
      </c>
      <c r="I61" s="177"/>
      <c r="J61" s="177"/>
      <c r="K61" s="177"/>
      <c r="L61" s="177"/>
      <c r="M61" s="177"/>
      <c r="N61" s="177"/>
    </row>
    <row r="62" spans="1:14" s="118" customFormat="1" ht="13.5" x14ac:dyDescent="0.25">
      <c r="A62" s="387" t="s">
        <v>299</v>
      </c>
      <c r="B62" s="8" t="s">
        <v>298</v>
      </c>
      <c r="C62" s="8" t="s">
        <v>202</v>
      </c>
      <c r="D62" s="388" t="s">
        <v>247</v>
      </c>
      <c r="E62" s="388" t="s">
        <v>263</v>
      </c>
      <c r="F62" s="9">
        <f t="shared" si="4"/>
        <v>10</v>
      </c>
      <c r="G62" s="177"/>
      <c r="H62" s="177">
        <v>1</v>
      </c>
      <c r="I62" s="177">
        <v>4</v>
      </c>
      <c r="J62" s="177">
        <v>5</v>
      </c>
      <c r="K62" s="177"/>
      <c r="L62" s="177"/>
      <c r="M62" s="177"/>
      <c r="N62" s="177"/>
    </row>
    <row r="63" spans="1:14" s="118" customFormat="1" ht="13.5" x14ac:dyDescent="0.25">
      <c r="A63" s="387" t="s">
        <v>264</v>
      </c>
      <c r="B63" s="8" t="s">
        <v>265</v>
      </c>
      <c r="C63" s="8" t="s">
        <v>202</v>
      </c>
      <c r="D63" s="388" t="s">
        <v>247</v>
      </c>
      <c r="E63" s="388" t="s">
        <v>263</v>
      </c>
      <c r="F63" s="9">
        <f t="shared" si="4"/>
        <v>3</v>
      </c>
      <c r="G63" s="177">
        <v>1</v>
      </c>
      <c r="H63" s="177"/>
      <c r="I63" s="177"/>
      <c r="J63" s="177"/>
      <c r="K63" s="177">
        <v>1</v>
      </c>
      <c r="L63" s="177"/>
      <c r="M63" s="177"/>
      <c r="N63" s="177">
        <v>1</v>
      </c>
    </row>
    <row r="64" spans="1:14" s="409" customFormat="1" ht="13.5" x14ac:dyDescent="0.25">
      <c r="A64" s="410"/>
      <c r="D64" s="411"/>
      <c r="E64" s="411"/>
      <c r="F64" s="412">
        <f t="shared" ref="F64:N64" si="5">SUM(F43:F63)</f>
        <v>81</v>
      </c>
      <c r="G64" s="413">
        <f t="shared" si="5"/>
        <v>19</v>
      </c>
      <c r="H64" s="413">
        <f t="shared" si="5"/>
        <v>8</v>
      </c>
      <c r="I64" s="413">
        <f t="shared" si="5"/>
        <v>18</v>
      </c>
      <c r="J64" s="413">
        <f t="shared" si="5"/>
        <v>10</v>
      </c>
      <c r="K64" s="413">
        <f t="shared" si="5"/>
        <v>15</v>
      </c>
      <c r="L64" s="413">
        <f t="shared" si="5"/>
        <v>7</v>
      </c>
      <c r="M64" s="413">
        <f t="shared" si="5"/>
        <v>6</v>
      </c>
      <c r="N64" s="413">
        <f t="shared" si="5"/>
        <v>4</v>
      </c>
    </row>
    <row r="65" spans="1:14" s="390" customFormat="1" ht="13.5" x14ac:dyDescent="0.25">
      <c r="A65" s="389"/>
      <c r="D65" s="391"/>
      <c r="E65" s="391"/>
      <c r="F65" s="391"/>
      <c r="G65" s="392"/>
      <c r="H65" s="392"/>
      <c r="I65" s="392"/>
      <c r="J65" s="392"/>
      <c r="K65" s="392"/>
      <c r="L65" s="392"/>
      <c r="M65" s="392"/>
      <c r="N65" s="392"/>
    </row>
    <row r="66" spans="1:14" s="390" customFormat="1" ht="13.5" x14ac:dyDescent="0.25">
      <c r="A66" s="389"/>
      <c r="B66" s="393" t="s">
        <v>223</v>
      </c>
      <c r="C66" s="393"/>
      <c r="D66" s="394" t="s">
        <v>316</v>
      </c>
      <c r="E66" s="394"/>
      <c r="F66" s="394"/>
      <c r="G66" s="395"/>
      <c r="H66" s="395"/>
      <c r="I66" s="392"/>
      <c r="J66" s="392"/>
      <c r="K66" s="392"/>
      <c r="L66" s="392"/>
      <c r="M66" s="392"/>
      <c r="N66" s="392"/>
    </row>
    <row r="67" spans="1:14" s="390" customFormat="1" ht="13.5" x14ac:dyDescent="0.25">
      <c r="A67" s="389"/>
      <c r="B67" s="393" t="s">
        <v>262</v>
      </c>
      <c r="C67" s="393"/>
      <c r="D67" s="394">
        <f>F41-D69</f>
        <v>204</v>
      </c>
      <c r="E67" s="394"/>
      <c r="F67" s="394"/>
      <c r="G67" s="395"/>
      <c r="H67" s="395"/>
      <c r="I67" s="392"/>
      <c r="J67" s="392"/>
      <c r="K67" s="392"/>
      <c r="L67" s="392"/>
      <c r="M67" s="392"/>
      <c r="N67" s="392"/>
    </row>
    <row r="68" spans="1:14" s="390" customFormat="1" ht="13.5" x14ac:dyDescent="0.25">
      <c r="A68" s="389"/>
      <c r="B68" s="393" t="s">
        <v>314</v>
      </c>
      <c r="C68" s="393"/>
      <c r="D68" s="394">
        <f>F11</f>
        <v>6</v>
      </c>
      <c r="E68" s="396" t="s">
        <v>355</v>
      </c>
      <c r="F68" s="394"/>
      <c r="G68" s="395"/>
      <c r="H68" s="395"/>
      <c r="I68" s="392"/>
      <c r="J68" s="392"/>
      <c r="K68" s="392"/>
      <c r="L68" s="392"/>
      <c r="M68" s="392"/>
      <c r="N68" s="392"/>
    </row>
    <row r="69" spans="1:14" s="390" customFormat="1" ht="13.5" x14ac:dyDescent="0.25">
      <c r="A69" s="389"/>
      <c r="B69" s="393" t="s">
        <v>261</v>
      </c>
      <c r="C69" s="393"/>
      <c r="D69" s="394">
        <f>F34+F30+F29+F27+F26</f>
        <v>38</v>
      </c>
      <c r="E69" s="394">
        <f>SUM(D67:D69)</f>
        <v>248</v>
      </c>
      <c r="F69" s="394"/>
      <c r="G69" s="395"/>
      <c r="H69" s="395"/>
      <c r="I69" s="392"/>
      <c r="J69" s="392"/>
      <c r="K69" s="392"/>
      <c r="L69" s="392"/>
      <c r="M69" s="392"/>
      <c r="N69" s="392"/>
    </row>
    <row r="70" spans="1:14" s="390" customFormat="1" ht="13.5" x14ac:dyDescent="0.25">
      <c r="A70" s="389"/>
      <c r="B70" s="393" t="s">
        <v>315</v>
      </c>
      <c r="C70" s="393"/>
      <c r="D70" s="394">
        <f>F64</f>
        <v>81</v>
      </c>
      <c r="E70" s="394"/>
      <c r="F70" s="394"/>
      <c r="G70" s="395"/>
      <c r="H70" s="395"/>
      <c r="I70" s="392"/>
      <c r="J70" s="392"/>
      <c r="K70" s="392"/>
      <c r="L70" s="392"/>
      <c r="M70" s="392"/>
      <c r="N70" s="392"/>
    </row>
    <row r="71" spans="1:14" s="390" customFormat="1" ht="13.5" x14ac:dyDescent="0.25">
      <c r="A71" s="389"/>
      <c r="D71" s="391"/>
      <c r="E71" s="391"/>
      <c r="F71" s="391"/>
      <c r="G71" s="392"/>
      <c r="H71" s="392"/>
      <c r="I71" s="392"/>
      <c r="J71" s="392"/>
      <c r="K71" s="392"/>
      <c r="L71" s="392"/>
      <c r="M71" s="392"/>
      <c r="N71" s="392"/>
    </row>
    <row r="72" spans="1:14" s="390" customFormat="1" ht="13.5" x14ac:dyDescent="0.25">
      <c r="A72" s="389"/>
      <c r="D72" s="391"/>
      <c r="E72" s="391"/>
      <c r="F72" s="391"/>
      <c r="G72" s="392"/>
      <c r="H72" s="392"/>
      <c r="I72" s="392"/>
      <c r="J72" s="392"/>
      <c r="K72" s="392"/>
      <c r="L72" s="392"/>
      <c r="M72" s="392"/>
      <c r="N72" s="392"/>
    </row>
    <row r="73" spans="1:14" s="390" customFormat="1" ht="13.5" x14ac:dyDescent="0.25">
      <c r="A73" s="389"/>
      <c r="B73" s="393" t="s">
        <v>313</v>
      </c>
      <c r="C73" s="393"/>
      <c r="D73" s="394">
        <f>D67+D69</f>
        <v>242</v>
      </c>
      <c r="E73" s="394"/>
      <c r="F73" s="394"/>
      <c r="G73" s="395"/>
      <c r="H73" s="395"/>
      <c r="I73" s="392"/>
      <c r="J73" s="392"/>
      <c r="K73" s="392"/>
      <c r="L73" s="392"/>
      <c r="M73" s="392"/>
      <c r="N73" s="392"/>
    </row>
    <row r="74" spans="1:14" s="390" customFormat="1" ht="13.5" x14ac:dyDescent="0.25">
      <c r="A74" s="389"/>
      <c r="B74" s="393" t="s">
        <v>317</v>
      </c>
      <c r="C74" s="393"/>
      <c r="D74" s="394">
        <f>D68</f>
        <v>6</v>
      </c>
      <c r="E74" s="394"/>
      <c r="F74" s="394"/>
      <c r="G74" s="395"/>
      <c r="H74" s="395"/>
      <c r="I74" s="392"/>
      <c r="J74" s="392"/>
      <c r="K74" s="392"/>
      <c r="L74" s="392"/>
      <c r="M74" s="392"/>
      <c r="N74" s="392"/>
    </row>
    <row r="75" spans="1:14" s="390" customFormat="1" ht="13.5" x14ac:dyDescent="0.25">
      <c r="A75" s="389"/>
      <c r="B75" s="393" t="s">
        <v>238</v>
      </c>
      <c r="C75" s="393"/>
      <c r="D75" s="394">
        <f>D70</f>
        <v>81</v>
      </c>
      <c r="E75" s="394"/>
      <c r="F75" s="394"/>
      <c r="G75" s="395"/>
      <c r="H75" s="395"/>
      <c r="I75" s="392"/>
      <c r="J75" s="392"/>
      <c r="K75" s="392"/>
      <c r="L75" s="392"/>
      <c r="M75" s="392"/>
      <c r="N75" s="392"/>
    </row>
    <row r="76" spans="1:14" s="390" customFormat="1" ht="13.5" x14ac:dyDescent="0.25">
      <c r="A76" s="389"/>
      <c r="D76" s="391"/>
      <c r="E76" s="391"/>
      <c r="F76" s="391"/>
      <c r="G76" s="392"/>
      <c r="H76" s="392"/>
      <c r="I76" s="392"/>
      <c r="J76" s="392"/>
      <c r="K76" s="392"/>
      <c r="L76" s="392"/>
      <c r="M76" s="392"/>
      <c r="N76" s="392"/>
    </row>
    <row r="77" spans="1:14" s="390" customFormat="1" ht="13.5" x14ac:dyDescent="0.25">
      <c r="A77" s="389"/>
      <c r="D77" s="391"/>
      <c r="E77" s="391"/>
      <c r="F77" s="391"/>
      <c r="G77" s="392"/>
      <c r="H77" s="392"/>
      <c r="I77" s="392"/>
      <c r="J77" s="392"/>
      <c r="K77" s="392"/>
      <c r="L77" s="392"/>
      <c r="M77" s="392"/>
      <c r="N77" s="392"/>
    </row>
  </sheetData>
  <sortState ref="A43:N63">
    <sortCondition ref="B43"/>
  </sortState>
  <mergeCells count="1">
    <mergeCell ref="A1:G1"/>
  </mergeCells>
  <phoneticPr fontId="4"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11</vt:i4>
      </vt:variant>
    </vt:vector>
  </HeadingPairs>
  <TitlesOfParts>
    <vt:vector size="22" baseType="lpstr">
      <vt:lpstr>R_REKAPITULACE</vt:lpstr>
      <vt:lpstr>R_VÝSADBA STROMŮ A SOL. KEŘŮ</vt:lpstr>
      <vt:lpstr>R_ZALOŽENÍ ZÁHONŮ_keře</vt:lpstr>
      <vt:lpstr>R_ZALOŽENÍ ZÁHONŮtrvalková část</vt:lpstr>
      <vt:lpstr>R_KVĚTNATÁ LOUKA</vt:lpstr>
      <vt:lpstr>R_ROSTLINNÝ MATERIÁL</vt:lpstr>
      <vt:lpstr>R_RevitalizaceDH_nezpůsobile</vt:lpstr>
      <vt:lpstr>R_RevitalizaceDH_způsobilé nákl</vt:lpstr>
      <vt:lpstr>R_NÁSLEDNÁ PÉČE</vt:lpstr>
      <vt:lpstr>soupiska keře</vt:lpstr>
      <vt:lpstr>soupiska stromy</vt:lpstr>
      <vt:lpstr>'soupiska keře'!Názvy_tisku</vt:lpstr>
      <vt:lpstr>'R_KVĚTNATÁ LOUKA'!Oblast_tisku</vt:lpstr>
      <vt:lpstr>'R_NÁSLEDNÁ PÉČE'!Oblast_tisku</vt:lpstr>
      <vt:lpstr>R_REKAPITULACE!Oblast_tisku</vt:lpstr>
      <vt:lpstr>R_RevitalizaceDH_nezpůsobile!Oblast_tisku</vt:lpstr>
      <vt:lpstr>'R_RevitalizaceDH_způsobilé nákl'!Oblast_tisku</vt:lpstr>
      <vt:lpstr>'R_ROSTLINNÝ MATERIÁL'!Oblast_tisku</vt:lpstr>
      <vt:lpstr>'R_VÝSADBA STROMŮ A SOL. KEŘŮ'!Oblast_tisku</vt:lpstr>
      <vt:lpstr>'R_ZALOŽENÍ ZÁHONŮ_keře'!Oblast_tisku</vt:lpstr>
      <vt:lpstr>'R_ZALOŽENÍ ZÁHONŮtrvalková část'!Oblast_tisku</vt:lpstr>
      <vt:lpstr>'soupiska keře'!Oblast_tisku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2020-12-07T15:15:02Z</dcterms:modified>
</cp:coreProperties>
</file>