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dílené disky\04_PROJEKCE\Zakazky_2022\074_2022_DS_Breclav\CHL\"/>
    </mc:Choice>
  </mc:AlternateContent>
  <xr:revisionPtr revIDLastSave="0" documentId="13_ncr:1_{DABDF594-F7AC-49E2-9D1D-42913EA71138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Stavba" sheetId="1" r:id="rId1"/>
    <sheet name="VzorPolozky" sheetId="10" state="hidden" r:id="rId2"/>
    <sheet name="Výkaz výměr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'Výkaz výměr'!$1:$7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Stavba!$A$1:$J$62</definedName>
    <definedName name="_xlnm.Print_Area" localSheetId="2">'Výkaz výměr'!$A$1:$X$73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2" i="12" l="1"/>
  <c r="G31" i="12"/>
  <c r="G30" i="12"/>
  <c r="G34" i="12"/>
  <c r="G35" i="12"/>
  <c r="G36" i="12"/>
  <c r="G37" i="12"/>
  <c r="G38" i="12"/>
  <c r="G40" i="12"/>
  <c r="G41" i="12"/>
  <c r="G42" i="12"/>
  <c r="E21" i="12"/>
  <c r="E28" i="12"/>
  <c r="E27" i="12"/>
  <c r="E26" i="12"/>
  <c r="E25" i="12"/>
  <c r="E24" i="12"/>
  <c r="E23" i="12"/>
  <c r="E20" i="12"/>
  <c r="E19" i="12"/>
  <c r="G11" i="12"/>
  <c r="G29" i="12" l="1"/>
  <c r="G39" i="12"/>
  <c r="G16" i="12"/>
  <c r="I52" i="1" l="1"/>
  <c r="G48" i="12"/>
  <c r="G56" i="12"/>
  <c r="G47" i="12"/>
  <c r="G46" i="12"/>
  <c r="G54" i="12" l="1"/>
  <c r="G53" i="12"/>
  <c r="G52" i="12"/>
  <c r="G51" i="12"/>
  <c r="G55" i="12"/>
  <c r="G57" i="12"/>
  <c r="G43" i="12"/>
  <c r="G33" i="12" s="1"/>
  <c r="G28" i="12"/>
  <c r="G20" i="12"/>
  <c r="G17" i="12"/>
  <c r="I20" i="1" l="1"/>
  <c r="I17" i="1"/>
  <c r="I18" i="1"/>
  <c r="G58" i="12" l="1"/>
  <c r="G50" i="12"/>
  <c r="G49" i="12"/>
  <c r="G27" i="12"/>
  <c r="G26" i="12"/>
  <c r="G25" i="12"/>
  <c r="G24" i="12"/>
  <c r="G23" i="12"/>
  <c r="G22" i="12"/>
  <c r="G21" i="12"/>
  <c r="G19" i="12"/>
  <c r="G15" i="12"/>
  <c r="G14" i="12"/>
  <c r="G13" i="12"/>
  <c r="G10" i="12"/>
  <c r="G18" i="12" l="1"/>
  <c r="G12" i="12"/>
  <c r="G9" i="12"/>
  <c r="G8" i="12" s="1"/>
  <c r="I9" i="12"/>
  <c r="K9" i="12"/>
  <c r="O9" i="12"/>
  <c r="Q9" i="12"/>
  <c r="V9" i="12"/>
  <c r="I37" i="12"/>
  <c r="K37" i="12"/>
  <c r="O37" i="12"/>
  <c r="Q37" i="12"/>
  <c r="V37" i="12"/>
  <c r="G45" i="12"/>
  <c r="I51" i="12"/>
  <c r="K51" i="12"/>
  <c r="O51" i="12"/>
  <c r="Q51" i="12"/>
  <c r="V51" i="12"/>
  <c r="I52" i="12"/>
  <c r="K52" i="12"/>
  <c r="O52" i="12"/>
  <c r="Q52" i="12"/>
  <c r="V52" i="12"/>
  <c r="AE63" i="12"/>
  <c r="F41" i="1" s="1"/>
  <c r="Z34" i="12" l="1"/>
  <c r="AA34" i="12" s="1"/>
  <c r="I50" i="1"/>
  <c r="I51" i="1"/>
  <c r="M37" i="12"/>
  <c r="M33" i="12" s="1"/>
  <c r="I49" i="1"/>
  <c r="M52" i="12"/>
  <c r="G44" i="12"/>
  <c r="I19" i="1" s="1"/>
  <c r="Q50" i="12"/>
  <c r="I33" i="12"/>
  <c r="O50" i="12"/>
  <c r="O33" i="12"/>
  <c r="I8" i="12"/>
  <c r="Q33" i="12"/>
  <c r="Q8" i="12"/>
  <c r="AF63" i="12"/>
  <c r="G41" i="1" s="1"/>
  <c r="H41" i="1" s="1"/>
  <c r="I41" i="1" s="1"/>
  <c r="I50" i="12"/>
  <c r="V33" i="12"/>
  <c r="O8" i="12"/>
  <c r="M51" i="12"/>
  <c r="K33" i="12"/>
  <c r="M9" i="12"/>
  <c r="V50" i="12"/>
  <c r="K50" i="12"/>
  <c r="V8" i="12"/>
  <c r="K8" i="12"/>
  <c r="F40" i="1"/>
  <c r="F39" i="1"/>
  <c r="J28" i="1"/>
  <c r="J26" i="1"/>
  <c r="G38" i="1"/>
  <c r="F38" i="1"/>
  <c r="J23" i="1"/>
  <c r="J24" i="1"/>
  <c r="J25" i="1"/>
  <c r="J27" i="1"/>
  <c r="E24" i="1"/>
  <c r="E26" i="1"/>
  <c r="G59" i="12" l="1"/>
  <c r="I16" i="1"/>
  <c r="I53" i="1"/>
  <c r="I54" i="1"/>
  <c r="M8" i="12"/>
  <c r="M50" i="12"/>
  <c r="G40" i="1"/>
  <c r="H40" i="1" s="1"/>
  <c r="I40" i="1" s="1"/>
  <c r="G39" i="1"/>
  <c r="G42" i="1" s="1"/>
  <c r="F42" i="1"/>
  <c r="I55" i="1" l="1"/>
  <c r="J52" i="1" s="1"/>
  <c r="H39" i="1"/>
  <c r="H42" i="1" s="1"/>
  <c r="G23" i="1"/>
  <c r="A23" i="1" s="1"/>
  <c r="A24" i="1" s="1"/>
  <c r="G24" i="1" s="1"/>
  <c r="G28" i="1"/>
  <c r="J54" i="1" l="1"/>
  <c r="I21" i="1"/>
  <c r="G25" i="1" s="1"/>
  <c r="A25" i="1" s="1"/>
  <c r="A26" i="1" s="1"/>
  <c r="G26" i="1" s="1"/>
  <c r="J50" i="1"/>
  <c r="J53" i="1"/>
  <c r="J51" i="1"/>
  <c r="J49" i="1"/>
  <c r="I39" i="1"/>
  <c r="I42" i="1" s="1"/>
  <c r="J40" i="1" s="1"/>
  <c r="J55" i="1" l="1"/>
  <c r="A27" i="1"/>
  <c r="A29" i="1" s="1"/>
  <c r="J41" i="1"/>
  <c r="J39" i="1"/>
  <c r="J42" i="1" s="1"/>
  <c r="G29" i="1" l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Lenovo-PC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<sst xmlns="http://schemas.openxmlformats.org/spreadsheetml/2006/main" count="307" uniqueCount="199">
  <si>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</si>
  <si>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</si>
  <si>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</si>
  <si>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</si>
  <si>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</si>
  <si>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</si>
  <si>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</si>
  <si>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</si>
  <si>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</si>
  <si>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</si>
  <si>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</si>
  <si>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</si>
  <si>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</si>
  <si>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</si>
  <si>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</si>
  <si>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</si>
  <si>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</si>
  <si>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</si>
  <si>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</si>
  <si>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</si>
  <si>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</si>
  <si>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</si>
  <si>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</si>
  <si>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</si>
  <si>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</si>
  <si>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</si>
  <si>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</si>
  <si>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</si>
  <si>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</si>
  <si>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</si>
  <si>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</si>
  <si>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</si>
  <si>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</si>
  <si>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</si>
  <si>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</si>
  <si>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</si>
  <si>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</si>
  <si>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</si>
  <si>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</si>
  <si>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</si>
  <si>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část 1</t>
  </si>
  <si>
    <t>Hrubé rozvody, stoupačky</t>
  </si>
  <si>
    <t>Z.č.5</t>
  </si>
  <si>
    <t>Vzduchotechnika společných prostor v 1.NP, vč. dochlazování</t>
  </si>
  <si>
    <t>Objekt:</t>
  </si>
  <si>
    <t>Stavba</t>
  </si>
  <si>
    <t>Celkem za stavbu</t>
  </si>
  <si>
    <t>CZK</t>
  </si>
  <si>
    <t>Rekapitulace dílů</t>
  </si>
  <si>
    <t>Typ dílu</t>
  </si>
  <si>
    <t>01</t>
  </si>
  <si>
    <t>02</t>
  </si>
  <si>
    <t>03</t>
  </si>
  <si>
    <t>Chlazení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</si>
  <si>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</si>
  <si>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</si>
  <si>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</si>
  <si>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</si>
  <si>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</si>
  <si>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</si>
  <si>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</si>
  <si>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</si>
  <si>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</si>
  <si>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</si>
  <si>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</si>
  <si>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</si>
  <si>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</si>
  <si>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</si>
  <si>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</si>
  <si>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</si>
  <si>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</si>
  <si>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</si>
  <si>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</si>
  <si>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</si>
  <si>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</si>
  <si>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</si>
  <si>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</si>
  <si>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</si>
  <si>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</si>
  <si>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</si>
  <si>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</si>
  <si>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</si>
  <si>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</si>
  <si>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</si>
  <si>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</si>
  <si>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Kalkul</t>
  </si>
  <si>
    <t>Práce</t>
  </si>
  <si>
    <t>POL1_</t>
  </si>
  <si>
    <t>SUM</t>
  </si>
  <si>
    <t>Poznámky uchazeče k zadání</t>
  </si>
  <si>
    <t>POPUZIV</t>
  </si>
  <si>
    <t>END</t>
  </si>
  <si>
    <t>m</t>
  </si>
  <si>
    <t>Chladivo R410A, 1 kg</t>
  </si>
  <si>
    <t>Chladivo R32, 1 kg</t>
  </si>
  <si>
    <t>Drobná stavební výpomoc</t>
  </si>
  <si>
    <t>Orientační štítky</t>
  </si>
  <si>
    <t>Kompletační činnost</t>
  </si>
  <si>
    <t>Zařízení staveniště</t>
  </si>
  <si>
    <t>Pronájem montážních kostek</t>
  </si>
  <si>
    <t>hod</t>
  </si>
  <si>
    <t>den</t>
  </si>
  <si>
    <t>Koordinace s ostatními profesemi na stavbě</t>
  </si>
  <si>
    <t>Mimostaveništní doprava</t>
  </si>
  <si>
    <t>Venkovní jednotky</t>
  </si>
  <si>
    <t>01RCH001</t>
  </si>
  <si>
    <t>01RCH002</t>
  </si>
  <si>
    <t>01RCH003</t>
  </si>
  <si>
    <t>Vnitřní jednotky</t>
  </si>
  <si>
    <t>02RCH001</t>
  </si>
  <si>
    <t>02RCH002</t>
  </si>
  <si>
    <t>02RCH003</t>
  </si>
  <si>
    <t>Rozvody chladiva</t>
  </si>
  <si>
    <t>03RCH001</t>
  </si>
  <si>
    <t>03RCH002</t>
  </si>
  <si>
    <t>03RCH003</t>
  </si>
  <si>
    <t>03RCH004</t>
  </si>
  <si>
    <t>03RCH005</t>
  </si>
  <si>
    <t>03RCH006</t>
  </si>
  <si>
    <t>03RCH007</t>
  </si>
  <si>
    <t>03RCH008</t>
  </si>
  <si>
    <t>03RCH009</t>
  </si>
  <si>
    <t>03RCH010</t>
  </si>
  <si>
    <t xml:space="preserve">Montáž chladícího zařízení </t>
  </si>
  <si>
    <t>ONRCH001</t>
  </si>
  <si>
    <t>ONRCH002</t>
  </si>
  <si>
    <t>ONRCH003</t>
  </si>
  <si>
    <t>ONRCH004</t>
  </si>
  <si>
    <t>ONRCH005</t>
  </si>
  <si>
    <t>VNRCH001</t>
  </si>
  <si>
    <t>VNRCH002</t>
  </si>
  <si>
    <t xml:space="preserve">Autorský dozor včetně dopravy </t>
  </si>
  <si>
    <t>Přesun hmot pro chlazení</t>
  </si>
  <si>
    <t>VNRCH003</t>
  </si>
  <si>
    <t>VNRCH004</t>
  </si>
  <si>
    <t>VNRCH005</t>
  </si>
  <si>
    <t>VNRCH006</t>
  </si>
  <si>
    <t>VNRCH007</t>
  </si>
  <si>
    <t>VNRCH008</t>
  </si>
  <si>
    <t>VNRCH009</t>
  </si>
  <si>
    <t>VNRCH010</t>
  </si>
  <si>
    <t>Refinet - speciální měděná tvarovka pro větvení chladivového potrubí 2-trubka 0kW-15kW, set dvou ks - kapalina, plyn</t>
  </si>
  <si>
    <t>Refinet - speciální měděná tvarovka pro větvení chladivového potrubí 2-trubka 15kW-40kW, set dvou ks - kapalina, plyn</t>
  </si>
  <si>
    <t>Chladivové měděné izolované potrubí 6,35 mm s parotěsnou izolací s UV odolností, včetně kotvicího materiálu</t>
  </si>
  <si>
    <t>Chladivové měděné izolované potrubí 9,52 mm s parotěsnou izolací s UV odolností, včetně kotvicího materiálu</t>
  </si>
  <si>
    <t>Chladivové měděné izolované potrubí 12,7 mm s parotěsnou izolací s UV odolností, včetně kotvicího materiálu</t>
  </si>
  <si>
    <t>Chladivové měděné izolované potrubí 15,88 mm s parotěsnou izolací s UV odolností, včetně kotvicího materiálu</t>
  </si>
  <si>
    <t>Chladivové měděné izolované potrubí 19,05 mm s parotěsnou izolací s UV odolností, včetně kotvicího materiálu</t>
  </si>
  <si>
    <t>Chladivové měděné izolované potrubí 28,58 mm s parotěsnou izolací s UV odolností, včetně kotvicího materiálu</t>
  </si>
  <si>
    <t>Silentblok vnější, nosnost do 60 kg, pryžový</t>
  </si>
  <si>
    <t>Ostatní a spojovací materiál (těsnění, těsnící pásky a izolace)</t>
  </si>
  <si>
    <t>Napájení a uzemnění všech elektrických zařízení - dodávka elektro</t>
  </si>
  <si>
    <t>Evidenční kniha chladiv</t>
  </si>
  <si>
    <t xml:space="preserve">První revize </t>
  </si>
  <si>
    <t>Pronájem jeřábu včetně dopravy</t>
  </si>
  <si>
    <t>Projektová dokumentace skutečného stavu</t>
  </si>
  <si>
    <t>Vypracování provozního řádu a BOZP pro chlazení</t>
  </si>
  <si>
    <t>Utěsnění prostupů požárně dělících konstrukcí s odolností do EI 120 - bal. protipožární pěny, včetně identifikačních štítků</t>
  </si>
  <si>
    <t>ONRCH006</t>
  </si>
  <si>
    <t>ONRCH007</t>
  </si>
  <si>
    <t>ONRCH008</t>
  </si>
  <si>
    <t>ONRCH009</t>
  </si>
  <si>
    <t>VNRCH011</t>
  </si>
  <si>
    <t>VNRCH012</t>
  </si>
  <si>
    <t>VNRCH013</t>
  </si>
  <si>
    <t>VNRCH014</t>
  </si>
  <si>
    <t>Komplexní vyzkoušení a zprovoznění CHL zařízení technikem</t>
  </si>
  <si>
    <t>Vnitřní nástěnná jednotka systému VRF, Qch=1,5 kW, napájení 230/50 Hz, hmotnost 9 kg, rozměry cca: 299x820x215 mm (VxŠxH)</t>
  </si>
  <si>
    <t>Vnitřní nástěnná jednotka systému VRF, Qch=2,2 kW, napájení 230/50 Hz, hmotnost 9 kg, rozměry cca: 299x820x215 mm (VxŠxH)</t>
  </si>
  <si>
    <t>Vnitřní nástěnná jednotka systému VRF, Qch=2,8 kW, napájení 230/50 Hz, hmotnost 9,5 kg, rozměry cca: 299x820x215 mm (VxŠxH)</t>
  </si>
  <si>
    <t>Venkovní kondenzační jednotka SPLIT systém 2 trubková, jednoventilátorová, Qch=5,0 kW; R32, hmotnost 43,5 kg, rozměry cca: 638x880x310 mm (VxŠxH), 48 dBA</t>
  </si>
  <si>
    <t>Venkovní kondenzační jednotka VRF systém 2 trubková, jednoventilátorová, Qch=22,4 kW; R410A, hmotnost 175 kg, rozměry cca: 1695x930x765 mm (VxŠxH), 58 dBA</t>
  </si>
  <si>
    <t>Venkovní kondenzační jednotka VRF systém 2 trubková, jednoventilátorová, Qch=40,0 kW; R410A, hmotnost 207 kg, rozměry cca: 1695x930x765 mm (VxŠxH), 65 dBA</t>
  </si>
  <si>
    <t>Domov seniorů Břeclav</t>
  </si>
  <si>
    <t>Potrubí VZT</t>
  </si>
  <si>
    <t>04</t>
  </si>
  <si>
    <t>04RCH001</t>
  </si>
  <si>
    <t>04RCH002</t>
  </si>
  <si>
    <t>04RCH003</t>
  </si>
  <si>
    <t>VZT potrubí čtyřhranné přírubové sk. I; 1000x500 mm; včetně tvarovek, montážního, spojovacího a kotvícího materiálu</t>
  </si>
  <si>
    <t>VZT potrubí čtyřhranné přírubové sk. I; 950x800 mm; včetně tvarovek, montážního, spojovacího a kotvícího materiálu</t>
  </si>
  <si>
    <t>Šikmý výfukový kus se sítí proti hmyzu 1000x500 mm</t>
  </si>
  <si>
    <t>Nástěnný ovladač dotykový, v českém jazyce</t>
  </si>
  <si>
    <t>Odvod kondenzátu od všech jednotek chlazení - dodávka ZTI (NECENIT)</t>
  </si>
  <si>
    <t>Nosné prvky (konzoly) pro osazení venkovních jednotek chlazení, včetně upevňovacích prvků - dodávka stavby - (NECENIT)</t>
  </si>
  <si>
    <t>Komunikační kabeláž, kabelové propojení vnitřních jednotek a ovladačů - dodávka elektro (NECENIT)</t>
  </si>
  <si>
    <t>Zkoušky vstupní</t>
  </si>
  <si>
    <t>t</t>
  </si>
  <si>
    <t>02RCH005</t>
  </si>
  <si>
    <t>2022_074</t>
  </si>
  <si>
    <t>Modbus adaptér pro 1 venkovní jednotku/VRF systém (až 48 vnitř. jedn.)</t>
  </si>
  <si>
    <t>02RCH004</t>
  </si>
  <si>
    <t>ONRCH010</t>
  </si>
  <si>
    <t>část 1/2</t>
  </si>
  <si>
    <t>D.1.4.3.2a</t>
  </si>
  <si>
    <t>Výkaz výměr</t>
  </si>
  <si>
    <t>Výkaz výměr stavby</t>
  </si>
  <si>
    <t>Výkaz výměr:</t>
  </si>
  <si>
    <t>VV: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</si>
</sst>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9" fontId="16" fillId="0" borderId="41" xfId="0" applyNumberFormat="1" applyFont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0" fontId="16" fillId="0" borderId="39" xfId="0" applyFont="1" applyBorder="1" applyAlignment="1">
      <alignment vertical="top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9" fontId="16" fillId="0" borderId="39" xfId="0" applyNumberFormat="1" applyFont="1" applyBorder="1" applyAlignment="1">
      <alignment horizontal="left" vertical="top" wrapText="1"/>
    </xf>
    <xf numFmtId="14" fontId="8" fillId="0" borderId="6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center" wrapText="1" shrinkToFit="1"/>
    </xf>
    <xf numFmtId="0" fontId="16" fillId="0" borderId="39" xfId="0" applyFont="1" applyBorder="1" applyAlignment="1">
      <alignment horizontal="center" vertical="center" shrinkToFit="1"/>
    </xf>
    <xf numFmtId="49" fontId="16" fillId="0" borderId="18" xfId="0" applyNumberFormat="1" applyFont="1" applyBorder="1" applyAlignment="1">
      <alignment horizontal="left" vertical="top" wrapText="1"/>
    </xf>
    <xf numFmtId="164" fontId="16" fillId="0" borderId="39" xfId="0" applyNumberFormat="1" applyFont="1" applyFill="1" applyBorder="1" applyAlignment="1">
      <alignment vertical="top" shrinkToFit="1"/>
    </xf>
    <xf numFmtId="0" fontId="17" fillId="0" borderId="0" xfId="0" applyFont="1"/>
    <xf numFmtId="4" fontId="17" fillId="0" borderId="0" xfId="0" applyNumberFormat="1" applyFont="1"/>
    <xf numFmtId="164" fontId="16" fillId="0" borderId="0" xfId="0" applyNumberFormat="1" applyFont="1"/>
    <xf numFmtId="4" fontId="16" fillId="0" borderId="0" xfId="0" applyNumberFormat="1" applyFont="1"/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0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B5" sqref="B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87" t="s">
        <v>196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7" t="s">
        <v>23</v>
      </c>
      <c r="C2" s="78"/>
      <c r="D2" s="79" t="s">
        <v>189</v>
      </c>
      <c r="E2" s="196" t="s">
        <v>173</v>
      </c>
      <c r="F2" s="197"/>
      <c r="G2" s="197"/>
      <c r="H2" s="197"/>
      <c r="I2" s="197"/>
      <c r="J2" s="198"/>
      <c r="O2" s="1"/>
    </row>
    <row r="3" spans="1:15" ht="27" customHeight="1" x14ac:dyDescent="0.2">
      <c r="A3" s="2"/>
      <c r="B3" s="80" t="s">
        <v>44</v>
      </c>
      <c r="C3" s="78"/>
      <c r="D3" s="81" t="s">
        <v>194</v>
      </c>
      <c r="E3" s="199"/>
      <c r="F3" s="200"/>
      <c r="G3" s="200"/>
      <c r="H3" s="200"/>
      <c r="I3" s="200"/>
      <c r="J3" s="201"/>
    </row>
    <row r="4" spans="1:15" ht="23.25" customHeight="1" x14ac:dyDescent="0.2">
      <c r="A4" s="76">
        <v>2405</v>
      </c>
      <c r="B4" s="82" t="s">
        <v>197</v>
      </c>
      <c r="C4" s="83"/>
      <c r="D4" s="84" t="s">
        <v>193</v>
      </c>
      <c r="E4" s="209" t="s">
        <v>53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22</v>
      </c>
      <c r="D5" s="214"/>
      <c r="E5" s="215"/>
      <c r="F5" s="215"/>
      <c r="G5" s="215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3"/>
      <c r="E11" s="203"/>
      <c r="F11" s="203"/>
      <c r="G11" s="203"/>
      <c r="H11" s="18" t="s">
        <v>39</v>
      </c>
      <c r="I11" s="86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02"/>
      <c r="F15" s="202"/>
      <c r="G15" s="204"/>
      <c r="H15" s="204"/>
      <c r="I15" s="204" t="s">
        <v>30</v>
      </c>
      <c r="J15" s="205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93"/>
      <c r="F16" s="194"/>
      <c r="G16" s="193"/>
      <c r="H16" s="194"/>
      <c r="I16" s="193">
        <f>'Výkaz výměr'!G8+'Výkaz výměr'!G12+'Výkaz výměr'!G18+'Výkaz výměr'!G29+'Výkaz výměr'!G33+'Výkaz výměr'!G44</f>
        <v>0</v>
      </c>
      <c r="J16" s="195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93"/>
      <c r="F17" s="194"/>
      <c r="G17" s="193"/>
      <c r="H17" s="194"/>
      <c r="I17" s="193">
        <f>SUMIF(F49:F54,A17,I49:I54)</f>
        <v>0</v>
      </c>
      <c r="J17" s="195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93"/>
      <c r="F18" s="194"/>
      <c r="G18" s="193"/>
      <c r="H18" s="194"/>
      <c r="I18" s="193">
        <f>SUMIF(F49:F54,A18,I49:I54)</f>
        <v>0</v>
      </c>
      <c r="J18" s="195"/>
    </row>
    <row r="19" spans="1:10" ht="23.25" customHeight="1" x14ac:dyDescent="0.2">
      <c r="A19" s="139" t="s">
        <v>54</v>
      </c>
      <c r="B19" s="38" t="s">
        <v>28</v>
      </c>
      <c r="C19" s="62"/>
      <c r="D19" s="63"/>
      <c r="E19" s="193"/>
      <c r="F19" s="194"/>
      <c r="G19" s="193"/>
      <c r="H19" s="194"/>
      <c r="I19" s="193">
        <f>'Výkaz výměr'!G44</f>
        <v>0</v>
      </c>
      <c r="J19" s="195"/>
    </row>
    <row r="20" spans="1:10" ht="23.25" customHeight="1" x14ac:dyDescent="0.2">
      <c r="A20" s="139" t="s">
        <v>55</v>
      </c>
      <c r="B20" s="38" t="s">
        <v>29</v>
      </c>
      <c r="C20" s="62"/>
      <c r="D20" s="63"/>
      <c r="E20" s="193"/>
      <c r="F20" s="194"/>
      <c r="G20" s="193"/>
      <c r="H20" s="194"/>
      <c r="I20" s="193">
        <f>'Výkaz výměr'!G33</f>
        <v>0</v>
      </c>
      <c r="J20" s="195"/>
    </row>
    <row r="21" spans="1:10" ht="23.25" customHeight="1" x14ac:dyDescent="0.2">
      <c r="A21" s="2"/>
      <c r="B21" s="48" t="s">
        <v>30</v>
      </c>
      <c r="C21" s="64"/>
      <c r="D21" s="65"/>
      <c r="E21" s="206"/>
      <c r="F21" s="207"/>
      <c r="G21" s="206"/>
      <c r="H21" s="207"/>
      <c r="I21" s="206">
        <f>SUM(I16:J20)</f>
        <v>0</v>
      </c>
      <c r="J21" s="225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3">
        <f ca="1">ZakladDPHSniVypocet</f>
        <v>0</v>
      </c>
      <c r="H23" s="224"/>
      <c r="I23" s="224"/>
      <c r="J23" s="40" t="str">
        <f t="shared" ref="J23:J28" si="0">Mena</f>
        <v>CZK</v>
      </c>
    </row>
    <row r="24" spans="1:10" ht="23.25" customHeight="1" x14ac:dyDescent="0.2">
      <c r="A24" s="2">
        <f ca="1"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1">
        <f ca="1">IF(A24&gt;50, ROUNDUP(A23, 0), ROUNDDOWN(A23, 0))</f>
        <v>0</v>
      </c>
      <c r="H24" s="222"/>
      <c r="I24" s="22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3">
        <f>I21</f>
        <v>0</v>
      </c>
      <c r="H25" s="224"/>
      <c r="I25" s="22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0">
        <f>IF(A26&gt;50, ROUNDUP(A25, 0), ROUNDDOWN(A25, 0))</f>
        <v>0</v>
      </c>
      <c r="H26" s="191"/>
      <c r="I26" s="191"/>
      <c r="J26" s="37" t="str">
        <f t="shared" si="0"/>
        <v>CZK</v>
      </c>
    </row>
    <row r="27" spans="1:10" ht="23.25" customHeight="1" thickBot="1" x14ac:dyDescent="0.25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2">
        <f ca="1">CenaCelkem-(ZakladDPHSni+DPHSni+ZakladDPHZakl+DPHZakl)</f>
        <v>0</v>
      </c>
      <c r="H27" s="192"/>
      <c r="I27" s="19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26">
        <f ca="1">ZakladDPHSniVypocet+ZakladDPHZaklVypocet</f>
        <v>0</v>
      </c>
      <c r="H28" s="227"/>
      <c r="I28" s="227"/>
      <c r="J28" s="117" t="str">
        <f t="shared" si="0"/>
        <v>CZK</v>
      </c>
    </row>
    <row r="29" spans="1:10" ht="27.75" customHeight="1" thickBot="1" x14ac:dyDescent="0.25">
      <c r="A29" s="2">
        <f ca="1">(A27-INT(A27))*100</f>
        <v>0</v>
      </c>
      <c r="B29" s="113" t="s">
        <v>36</v>
      </c>
      <c r="C29" s="118"/>
      <c r="D29" s="118"/>
      <c r="E29" s="118"/>
      <c r="F29" s="119"/>
      <c r="G29" s="226">
        <f ca="1">IF(A29&gt;50, ROUNDUP(A27, 0), ROUNDDOWN(A27, 0))</f>
        <v>0</v>
      </c>
      <c r="H29" s="226"/>
      <c r="I29" s="226"/>
      <c r="J29" s="120" t="s">
        <v>47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178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8"/>
      <c r="E34" s="229"/>
      <c r="G34" s="230"/>
      <c r="H34" s="231"/>
      <c r="I34" s="231"/>
      <c r="J34" s="25"/>
    </row>
    <row r="35" spans="1:10" ht="12.75" customHeight="1" x14ac:dyDescent="0.2">
      <c r="A35" s="2"/>
      <c r="B35" s="2"/>
      <c r="D35" s="220" t="s">
        <v>2</v>
      </c>
      <c r="E35" s="22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45</v>
      </c>
      <c r="C39" s="234"/>
      <c r="D39" s="234"/>
      <c r="E39" s="234"/>
      <c r="F39" s="100">
        <f ca="1">'Výkaz výměr'!AE63</f>
        <v>0</v>
      </c>
      <c r="G39" s="101">
        <f ca="1">'Výkaz výměr'!AF63</f>
        <v>0</v>
      </c>
      <c r="H39" s="102">
        <f ca="1">(F39*SazbaDPH1/100)+(G39*SazbaDPH2/100)</f>
        <v>0</v>
      </c>
      <c r="I39" s="102">
        <f ca="1">F39+G39+H39</f>
        <v>0</v>
      </c>
      <c r="J39" s="103" t="str">
        <f ca="1"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42</v>
      </c>
      <c r="C40" s="235" t="s">
        <v>43</v>
      </c>
      <c r="D40" s="235"/>
      <c r="E40" s="235"/>
      <c r="F40" s="105">
        <f ca="1">'Výkaz výměr'!AE63</f>
        <v>0</v>
      </c>
      <c r="G40" s="106">
        <f ca="1">'Výkaz výměr'!AF63</f>
        <v>0</v>
      </c>
      <c r="H40" s="106">
        <f ca="1">(F40*SazbaDPH1/100)+(G40*SazbaDPH2/100)</f>
        <v>0</v>
      </c>
      <c r="I40" s="106">
        <f ca="1">F40+G40+H40</f>
        <v>0</v>
      </c>
      <c r="J40" s="107" t="str">
        <f ca="1"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234" t="s">
        <v>41</v>
      </c>
      <c r="D41" s="234"/>
      <c r="E41" s="234"/>
      <c r="F41" s="109">
        <f ca="1">'Výkaz výměr'!AE63</f>
        <v>0</v>
      </c>
      <c r="G41" s="102">
        <f ca="1">'Výkaz výměr'!AF63</f>
        <v>0</v>
      </c>
      <c r="H41" s="102">
        <f ca="1">(F41*SazbaDPH1/100)+(G41*SazbaDPH2/100)</f>
        <v>0</v>
      </c>
      <c r="I41" s="102">
        <f ca="1">F41+G41+H41</f>
        <v>0</v>
      </c>
      <c r="J41" s="103" t="str">
        <f ca="1">IF(CenaCelkemVypocet=0,"",I41/CenaCelkemVypocet*100)</f>
        <v/>
      </c>
    </row>
    <row r="42" spans="1:10" ht="25.5" hidden="1" customHeight="1" x14ac:dyDescent="0.2">
      <c r="A42" s="89"/>
      <c r="B42" s="236" t="s">
        <v>46</v>
      </c>
      <c r="C42" s="237"/>
      <c r="D42" s="237"/>
      <c r="E42" s="238"/>
      <c r="F42" s="110">
        <f ca="1">SUMIF(A39:A41,"=1",F39:F41)</f>
        <v>0</v>
      </c>
      <c r="G42" s="111">
        <f ca="1">SUMIF(A39:A41,"=1",G39:G41)</f>
        <v>0</v>
      </c>
      <c r="H42" s="111">
        <f ca="1">SUMIF(A39:A41,"=1",H39:H41)</f>
        <v>0</v>
      </c>
      <c r="I42" s="111">
        <f ca="1">SUMIF(A39:A41,"=1",I39:I41)</f>
        <v>0</v>
      </c>
      <c r="J42" s="112">
        <f ca="1">SUMIF(A39:A41,"=1",J39:J41)</f>
        <v>0</v>
      </c>
    </row>
    <row r="46" spans="1:10" ht="15.75" x14ac:dyDescent="0.25">
      <c r="B46" s="121" t="s">
        <v>48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49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50</v>
      </c>
      <c r="C49" s="232" t="s">
        <v>104</v>
      </c>
      <c r="D49" s="233"/>
      <c r="E49" s="233"/>
      <c r="F49" s="137" t="s">
        <v>25</v>
      </c>
      <c r="G49" s="130"/>
      <c r="H49" s="130"/>
      <c r="I49" s="130">
        <f>'Výkaz výměr'!G8</f>
        <v>0</v>
      </c>
      <c r="J49" s="135" t="str">
        <f>IF(I55=0,"",I49/I55*100)</f>
        <v/>
      </c>
    </row>
    <row r="50" spans="1:10" ht="36.75" customHeight="1" x14ac:dyDescent="0.2">
      <c r="A50" s="124"/>
      <c r="B50" s="129" t="s">
        <v>51</v>
      </c>
      <c r="C50" s="232" t="s">
        <v>108</v>
      </c>
      <c r="D50" s="233"/>
      <c r="E50" s="233"/>
      <c r="F50" s="137" t="s">
        <v>25</v>
      </c>
      <c r="G50" s="130"/>
      <c r="H50" s="130"/>
      <c r="I50" s="130">
        <f>'Výkaz výměr'!G12</f>
        <v>0</v>
      </c>
      <c r="J50" s="135" t="str">
        <f>IF(I55=0,"",I50/I55*100)</f>
        <v/>
      </c>
    </row>
    <row r="51" spans="1:10" ht="36.75" customHeight="1" x14ac:dyDescent="0.2">
      <c r="A51" s="124"/>
      <c r="B51" s="129" t="s">
        <v>52</v>
      </c>
      <c r="C51" s="232" t="s">
        <v>112</v>
      </c>
      <c r="D51" s="233"/>
      <c r="E51" s="233"/>
      <c r="F51" s="137" t="s">
        <v>25</v>
      </c>
      <c r="G51" s="130"/>
      <c r="H51" s="130"/>
      <c r="I51" s="130">
        <f>'Výkaz výměr'!G18</f>
        <v>0</v>
      </c>
      <c r="J51" s="135" t="str">
        <f>IF(I55=0,"",I51/I55*100)</f>
        <v/>
      </c>
    </row>
    <row r="52" spans="1:10" ht="36.75" customHeight="1" x14ac:dyDescent="0.2">
      <c r="A52" s="124"/>
      <c r="B52" s="129" t="s">
        <v>175</v>
      </c>
      <c r="C52" s="232" t="s">
        <v>174</v>
      </c>
      <c r="D52" s="233"/>
      <c r="E52" s="233"/>
      <c r="F52" s="137" t="s">
        <v>25</v>
      </c>
      <c r="G52" s="130"/>
      <c r="H52" s="130"/>
      <c r="I52" s="130">
        <f>'Výkaz výměr'!G29</f>
        <v>0</v>
      </c>
      <c r="J52" s="135" t="str">
        <f>IF(I55=0,"",I52/I55*100)</f>
        <v/>
      </c>
    </row>
    <row r="53" spans="1:10" ht="36.75" customHeight="1" x14ac:dyDescent="0.2">
      <c r="A53" s="124"/>
      <c r="B53" s="129" t="s">
        <v>55</v>
      </c>
      <c r="C53" s="232" t="s">
        <v>29</v>
      </c>
      <c r="D53" s="233"/>
      <c r="E53" s="233"/>
      <c r="F53" s="137" t="s">
        <v>55</v>
      </c>
      <c r="G53" s="130"/>
      <c r="H53" s="130"/>
      <c r="I53" s="130">
        <f>'Výkaz výměr'!G33</f>
        <v>0</v>
      </c>
      <c r="J53" s="135" t="str">
        <f>IF(I55=0,"",I53/I55*100)</f>
        <v/>
      </c>
    </row>
    <row r="54" spans="1:10" ht="36.75" customHeight="1" x14ac:dyDescent="0.2">
      <c r="A54" s="124"/>
      <c r="B54" s="129" t="s">
        <v>54</v>
      </c>
      <c r="C54" s="232" t="s">
        <v>28</v>
      </c>
      <c r="D54" s="233"/>
      <c r="E54" s="233"/>
      <c r="F54" s="137" t="s">
        <v>54</v>
      </c>
      <c r="G54" s="130"/>
      <c r="H54" s="130"/>
      <c r="I54" s="130">
        <f>'Výkaz výměr'!G44</f>
        <v>0</v>
      </c>
      <c r="J54" s="135" t="str">
        <f>IF(I55=0,"",I54/I55*100)</f>
        <v/>
      </c>
    </row>
    <row r="55" spans="1:10" ht="36.75" customHeight="1" x14ac:dyDescent="0.2">
      <c r="A55" s="124"/>
      <c r="B55" s="131" t="s">
        <v>1</v>
      </c>
      <c r="C55" s="132"/>
      <c r="D55" s="133"/>
      <c r="E55" s="133"/>
      <c r="F55" s="138"/>
      <c r="G55" s="134"/>
      <c r="H55" s="134"/>
      <c r="I55" s="134">
        <f>SUM(I49:I54)</f>
        <v>0</v>
      </c>
      <c r="J55" s="136">
        <f>SUM(J49:J54)</f>
        <v>0</v>
      </c>
    </row>
    <row r="56" spans="1:10" ht="36.75" customHeight="1" x14ac:dyDescent="0.2">
      <c r="A56" s="124"/>
      <c r="F56" s="87"/>
      <c r="G56" s="87"/>
      <c r="H56" s="87"/>
      <c r="I56" s="87"/>
      <c r="J56" s="88"/>
    </row>
    <row r="57" spans="1:10" ht="36.75" customHeight="1" x14ac:dyDescent="0.2">
      <c r="A57" s="124"/>
      <c r="F57" s="87"/>
      <c r="G57" s="87"/>
      <c r="H57" s="87"/>
      <c r="I57" s="87"/>
      <c r="J57" s="88"/>
    </row>
    <row r="58" spans="1:10" ht="36.75" customHeight="1" x14ac:dyDescent="0.2">
      <c r="A58" s="124"/>
      <c r="F58" s="87"/>
      <c r="G58" s="87"/>
      <c r="H58" s="87"/>
      <c r="I58" s="87"/>
      <c r="J58" s="88"/>
    </row>
    <row r="59" spans="1:10" ht="36.75" customHeight="1" x14ac:dyDescent="0.2">
      <c r="A59" s="124"/>
    </row>
    <row r="60" spans="1:10" ht="36.75" customHeight="1" x14ac:dyDescent="0.2">
      <c r="A60" s="124"/>
    </row>
    <row r="61" spans="1:10" ht="36.75" customHeight="1" x14ac:dyDescent="0.2">
      <c r="A61" s="124"/>
    </row>
    <row r="62" spans="1:10" ht="25.5" customHeight="1" x14ac:dyDescent="0.2">
      <c r="A62" s="12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4:E54"/>
    <mergeCell ref="C53:E53"/>
    <mergeCell ref="C39:E39"/>
    <mergeCell ref="C40:E40"/>
    <mergeCell ref="C41:E41"/>
    <mergeCell ref="B42:E42"/>
    <mergeCell ref="C49:E49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7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8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9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14"/>
  <sheetViews>
    <sheetView zoomScaleNormal="100" workbookViewId="0">
      <pane ySplit="7" topLeftCell="A8" activePane="bottomLeft" state="frozen"/>
      <selection pane="bottomLeft" activeCell="Z37" sqref="Z37:AD49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5" max="25" width="10" style="21" bestFit="1" customWidth="1"/>
    <col min="26" max="26" width="10" customWidth="1"/>
    <col min="28" max="28" width="10" bestFit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195</v>
      </c>
      <c r="B1" s="252"/>
      <c r="C1" s="252"/>
      <c r="D1" s="252"/>
      <c r="E1" s="252"/>
      <c r="F1" s="252"/>
      <c r="G1" s="252"/>
      <c r="AG1" t="s">
        <v>56</v>
      </c>
    </row>
    <row r="2" spans="1:60" ht="25.15" customHeight="1" x14ac:dyDescent="0.2">
      <c r="A2" s="140" t="s">
        <v>7</v>
      </c>
      <c r="B2" s="49" t="s">
        <v>189</v>
      </c>
      <c r="C2" s="253" t="s">
        <v>173</v>
      </c>
      <c r="D2" s="254"/>
      <c r="E2" s="254"/>
      <c r="F2" s="254"/>
      <c r="G2" s="255"/>
      <c r="AG2" t="s">
        <v>57</v>
      </c>
    </row>
    <row r="3" spans="1:60" ht="25.15" customHeight="1" x14ac:dyDescent="0.2">
      <c r="A3" s="140" t="s">
        <v>8</v>
      </c>
      <c r="B3" s="49" t="s">
        <v>194</v>
      </c>
      <c r="C3" s="253"/>
      <c r="D3" s="254"/>
      <c r="E3" s="254"/>
      <c r="F3" s="254"/>
      <c r="G3" s="255"/>
      <c r="AC3" s="122" t="s">
        <v>57</v>
      </c>
      <c r="AG3" t="s">
        <v>58</v>
      </c>
    </row>
    <row r="4" spans="1:60" ht="25.15" customHeight="1" x14ac:dyDescent="0.2">
      <c r="A4" s="141" t="s">
        <v>198</v>
      </c>
      <c r="B4" s="142" t="s">
        <v>193</v>
      </c>
      <c r="C4" s="256" t="s">
        <v>53</v>
      </c>
      <c r="D4" s="257"/>
      <c r="E4" s="257"/>
      <c r="F4" s="257"/>
      <c r="G4" s="258"/>
      <c r="AG4" t="s">
        <v>59</v>
      </c>
    </row>
    <row r="5" spans="1:60" x14ac:dyDescent="0.2">
      <c r="D5" s="10"/>
    </row>
    <row r="6" spans="1:60" ht="38.25" x14ac:dyDescent="0.2">
      <c r="A6" s="144" t="s">
        <v>60</v>
      </c>
      <c r="B6" s="146" t="s">
        <v>61</v>
      </c>
      <c r="C6" s="146" t="s">
        <v>62</v>
      </c>
      <c r="D6" s="145" t="s">
        <v>63</v>
      </c>
      <c r="E6" s="144" t="s">
        <v>64</v>
      </c>
      <c r="F6" s="143" t="s">
        <v>65</v>
      </c>
      <c r="G6" s="144" t="s">
        <v>30</v>
      </c>
      <c r="H6" s="147" t="s">
        <v>31</v>
      </c>
      <c r="I6" s="147" t="s">
        <v>66</v>
      </c>
      <c r="J6" s="147" t="s">
        <v>32</v>
      </c>
      <c r="K6" s="147" t="s">
        <v>67</v>
      </c>
      <c r="L6" s="147" t="s">
        <v>68</v>
      </c>
      <c r="M6" s="147" t="s">
        <v>69</v>
      </c>
      <c r="N6" s="147" t="s">
        <v>70</v>
      </c>
      <c r="O6" s="147" t="s">
        <v>71</v>
      </c>
      <c r="P6" s="147" t="s">
        <v>72</v>
      </c>
      <c r="Q6" s="147" t="s">
        <v>73</v>
      </c>
      <c r="R6" s="147" t="s">
        <v>74</v>
      </c>
      <c r="S6" s="147" t="s">
        <v>75</v>
      </c>
      <c r="T6" s="147" t="s">
        <v>76</v>
      </c>
      <c r="U6" s="147" t="s">
        <v>77</v>
      </c>
      <c r="V6" s="147" t="s">
        <v>78</v>
      </c>
      <c r="W6" s="147" t="s">
        <v>79</v>
      </c>
      <c r="X6" s="147" t="s">
        <v>80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81</v>
      </c>
      <c r="B8" s="159" t="s">
        <v>50</v>
      </c>
      <c r="C8" s="166" t="s">
        <v>104</v>
      </c>
      <c r="D8" s="160"/>
      <c r="E8" s="161"/>
      <c r="F8" s="162"/>
      <c r="G8" s="163">
        <f>SUM(G9:G11)</f>
        <v>0</v>
      </c>
      <c r="H8" s="157"/>
      <c r="I8" s="157">
        <f>SUM(I9:I9)</f>
        <v>0</v>
      </c>
      <c r="J8" s="157"/>
      <c r="K8" s="157">
        <f>SUM(K9:K9)</f>
        <v>0</v>
      </c>
      <c r="L8" s="157"/>
      <c r="M8" s="157">
        <f>SUM(M9:M9)</f>
        <v>0</v>
      </c>
      <c r="N8" s="157"/>
      <c r="O8" s="157">
        <f>SUM(O9:O9)</f>
        <v>0</v>
      </c>
      <c r="P8" s="157"/>
      <c r="Q8" s="157">
        <f>SUM(Q9:Q9)</f>
        <v>0</v>
      </c>
      <c r="R8" s="157"/>
      <c r="S8" s="157"/>
      <c r="T8" s="157"/>
      <c r="U8" s="157"/>
      <c r="V8" s="157">
        <f>SUM(V9:V9)</f>
        <v>0</v>
      </c>
      <c r="W8" s="157"/>
      <c r="X8" s="157"/>
      <c r="AG8" t="s">
        <v>82</v>
      </c>
    </row>
    <row r="9" spans="1:60" ht="45" outlineLevel="1" x14ac:dyDescent="0.2">
      <c r="A9" s="173">
        <v>1</v>
      </c>
      <c r="B9" s="171" t="s">
        <v>105</v>
      </c>
      <c r="C9" s="177" t="s">
        <v>171</v>
      </c>
      <c r="D9" s="172" t="s">
        <v>83</v>
      </c>
      <c r="E9" s="174">
        <v>1</v>
      </c>
      <c r="F9" s="175">
        <v>0</v>
      </c>
      <c r="G9" s="176">
        <f t="shared" ref="G9:G10" si="0">ROUND(E9*F9,2)</f>
        <v>0</v>
      </c>
      <c r="H9" s="156">
        <v>0</v>
      </c>
      <c r="I9" s="155">
        <f>ROUND(E9*H9,2)</f>
        <v>0</v>
      </c>
      <c r="J9" s="156">
        <v>0</v>
      </c>
      <c r="K9" s="155">
        <f>ROUND(E9*J9,2)</f>
        <v>0</v>
      </c>
      <c r="L9" s="155">
        <v>21</v>
      </c>
      <c r="M9" s="155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5"/>
      <c r="S9" s="155" t="s">
        <v>84</v>
      </c>
      <c r="T9" s="155" t="s">
        <v>85</v>
      </c>
      <c r="U9" s="155">
        <v>0</v>
      </c>
      <c r="V9" s="155">
        <f>ROUND(E9*U9,2)</f>
        <v>0</v>
      </c>
      <c r="W9" s="155"/>
      <c r="X9" s="155" t="s">
        <v>86</v>
      </c>
      <c r="Z9" s="183"/>
      <c r="AA9" s="148"/>
      <c r="AB9" s="148"/>
      <c r="AC9" s="148"/>
      <c r="AD9" s="148"/>
      <c r="AE9" s="148"/>
      <c r="AF9" s="148"/>
      <c r="AG9" s="148" t="s">
        <v>87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45" outlineLevel="1" x14ac:dyDescent="0.2">
      <c r="A10" s="173">
        <v>2</v>
      </c>
      <c r="B10" s="171" t="s">
        <v>106</v>
      </c>
      <c r="C10" s="177" t="s">
        <v>172</v>
      </c>
      <c r="D10" s="172" t="s">
        <v>83</v>
      </c>
      <c r="E10" s="174">
        <v>4</v>
      </c>
      <c r="F10" s="175">
        <v>0</v>
      </c>
      <c r="G10" s="176">
        <f t="shared" si="0"/>
        <v>0</v>
      </c>
      <c r="H10" s="156"/>
      <c r="I10" s="155"/>
      <c r="J10" s="156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Z10" s="183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45" outlineLevel="1" x14ac:dyDescent="0.2">
      <c r="A11" s="173">
        <v>3</v>
      </c>
      <c r="B11" s="171" t="s">
        <v>107</v>
      </c>
      <c r="C11" s="177" t="s">
        <v>170</v>
      </c>
      <c r="D11" s="172" t="s">
        <v>83</v>
      </c>
      <c r="E11" s="174">
        <v>1</v>
      </c>
      <c r="F11" s="175">
        <v>0</v>
      </c>
      <c r="G11" s="176">
        <f t="shared" ref="G11" si="1">ROUND(E11*F11,2)</f>
        <v>0</v>
      </c>
      <c r="H11" s="156"/>
      <c r="I11" s="155"/>
      <c r="J11" s="156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Z11" s="183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8" t="s">
        <v>81</v>
      </c>
      <c r="B12" s="159" t="s">
        <v>51</v>
      </c>
      <c r="C12" s="166" t="s">
        <v>108</v>
      </c>
      <c r="D12" s="160"/>
      <c r="E12" s="161"/>
      <c r="F12" s="162"/>
      <c r="G12" s="163">
        <f>SUM(G13:G17)</f>
        <v>0</v>
      </c>
      <c r="H12" s="156"/>
      <c r="I12" s="155"/>
      <c r="J12" s="156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Z12" s="183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33.75" outlineLevel="1" x14ac:dyDescent="0.2">
      <c r="A13" s="173">
        <v>4</v>
      </c>
      <c r="B13" s="171" t="s">
        <v>109</v>
      </c>
      <c r="C13" s="177" t="s">
        <v>167</v>
      </c>
      <c r="D13" s="172" t="s">
        <v>83</v>
      </c>
      <c r="E13" s="174">
        <v>35</v>
      </c>
      <c r="F13" s="175">
        <v>0</v>
      </c>
      <c r="G13" s="176">
        <f t="shared" ref="G13:G17" si="2">ROUND(E13*F13,2)</f>
        <v>0</v>
      </c>
      <c r="H13" s="156"/>
      <c r="I13" s="155"/>
      <c r="J13" s="156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Z13" s="183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33.75" outlineLevel="1" x14ac:dyDescent="0.2">
      <c r="A14" s="173">
        <v>5</v>
      </c>
      <c r="B14" s="171" t="s">
        <v>110</v>
      </c>
      <c r="C14" s="167" t="s">
        <v>168</v>
      </c>
      <c r="D14" s="172" t="s">
        <v>83</v>
      </c>
      <c r="E14" s="174">
        <v>35</v>
      </c>
      <c r="F14" s="175">
        <v>0</v>
      </c>
      <c r="G14" s="176">
        <f t="shared" si="2"/>
        <v>0</v>
      </c>
      <c r="H14" s="156"/>
      <c r="I14" s="155"/>
      <c r="J14" s="156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Z14" s="183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33.75" outlineLevel="1" x14ac:dyDescent="0.2">
      <c r="A15" s="173">
        <v>6</v>
      </c>
      <c r="B15" s="171" t="s">
        <v>111</v>
      </c>
      <c r="C15" s="167" t="s">
        <v>169</v>
      </c>
      <c r="D15" s="172" t="s">
        <v>83</v>
      </c>
      <c r="E15" s="174">
        <v>6</v>
      </c>
      <c r="F15" s="175">
        <v>0</v>
      </c>
      <c r="G15" s="176">
        <f t="shared" si="2"/>
        <v>0</v>
      </c>
      <c r="H15" s="156"/>
      <c r="I15" s="155"/>
      <c r="J15" s="156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Z15" s="183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12.75" customHeight="1" outlineLevel="1" x14ac:dyDescent="0.2">
      <c r="A16" s="173">
        <v>7</v>
      </c>
      <c r="B16" s="171" t="s">
        <v>191</v>
      </c>
      <c r="C16" s="167" t="s">
        <v>182</v>
      </c>
      <c r="D16" s="172" t="s">
        <v>83</v>
      </c>
      <c r="E16" s="174">
        <v>100</v>
      </c>
      <c r="F16" s="175">
        <v>0</v>
      </c>
      <c r="G16" s="176">
        <f t="shared" ref="G16" si="3">ROUND(E16*F16,2)</f>
        <v>0</v>
      </c>
      <c r="H16" s="156"/>
      <c r="I16" s="155"/>
      <c r="J16" s="156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83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4" customHeight="1" outlineLevel="1" x14ac:dyDescent="0.2">
      <c r="A17" s="173">
        <v>8</v>
      </c>
      <c r="B17" s="171" t="s">
        <v>188</v>
      </c>
      <c r="C17" s="167" t="s">
        <v>190</v>
      </c>
      <c r="D17" s="172" t="s">
        <v>83</v>
      </c>
      <c r="E17" s="174">
        <v>5</v>
      </c>
      <c r="F17" s="175">
        <v>0</v>
      </c>
      <c r="G17" s="176">
        <f t="shared" si="2"/>
        <v>0</v>
      </c>
      <c r="H17" s="156"/>
      <c r="I17" s="155"/>
      <c r="J17" s="156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83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8" t="s">
        <v>81</v>
      </c>
      <c r="B18" s="159" t="s">
        <v>52</v>
      </c>
      <c r="C18" s="166" t="s">
        <v>112</v>
      </c>
      <c r="D18" s="160"/>
      <c r="E18" s="161"/>
      <c r="F18" s="162"/>
      <c r="G18" s="163">
        <f>SUM(G19:G28)</f>
        <v>0</v>
      </c>
      <c r="H18" s="156"/>
      <c r="I18" s="155"/>
      <c r="J18" s="156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83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33.75" outlineLevel="1" x14ac:dyDescent="0.2">
      <c r="A19" s="173">
        <v>9</v>
      </c>
      <c r="B19" s="171" t="s">
        <v>113</v>
      </c>
      <c r="C19" s="177" t="s">
        <v>141</v>
      </c>
      <c r="D19" s="172" t="s">
        <v>83</v>
      </c>
      <c r="E19" s="174">
        <f>16+15+15+15+8</f>
        <v>69</v>
      </c>
      <c r="F19" s="175">
        <v>0</v>
      </c>
      <c r="G19" s="176">
        <f t="shared" ref="G19:G28" si="4">ROUND(E19*F19,2)</f>
        <v>0</v>
      </c>
      <c r="H19" s="156"/>
      <c r="I19" s="155"/>
      <c r="J19" s="156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83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33.75" outlineLevel="1" x14ac:dyDescent="0.2">
      <c r="A20" s="173">
        <v>10</v>
      </c>
      <c r="B20" s="171" t="s">
        <v>114</v>
      </c>
      <c r="C20" s="177" t="s">
        <v>142</v>
      </c>
      <c r="D20" s="172" t="s">
        <v>83</v>
      </c>
      <c r="E20" s="174">
        <f>6+6+6+6+1</f>
        <v>25</v>
      </c>
      <c r="F20" s="175">
        <v>0</v>
      </c>
      <c r="G20" s="176">
        <f t="shared" si="4"/>
        <v>0</v>
      </c>
      <c r="H20" s="156"/>
      <c r="I20" s="155"/>
      <c r="J20" s="156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83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3">
        <v>11</v>
      </c>
      <c r="B21" s="171" t="s">
        <v>115</v>
      </c>
      <c r="C21" s="177" t="s">
        <v>93</v>
      </c>
      <c r="D21" s="172" t="s">
        <v>83</v>
      </c>
      <c r="E21" s="182">
        <f>(8+8+7+7+3)*1.2</f>
        <v>39.6</v>
      </c>
      <c r="F21" s="175">
        <v>0</v>
      </c>
      <c r="G21" s="176">
        <f t="shared" si="4"/>
        <v>0</v>
      </c>
      <c r="H21" s="156"/>
      <c r="I21" s="155"/>
      <c r="J21" s="156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83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3">
        <v>12</v>
      </c>
      <c r="B22" s="171" t="s">
        <v>116</v>
      </c>
      <c r="C22" s="177" t="s">
        <v>94</v>
      </c>
      <c r="D22" s="172" t="s">
        <v>83</v>
      </c>
      <c r="E22" s="182">
        <v>1</v>
      </c>
      <c r="F22" s="175">
        <v>0</v>
      </c>
      <c r="G22" s="176">
        <f t="shared" si="4"/>
        <v>0</v>
      </c>
      <c r="H22" s="156"/>
      <c r="I22" s="155"/>
      <c r="J22" s="156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33.75" outlineLevel="1" x14ac:dyDescent="0.2">
      <c r="A23" s="173">
        <v>13</v>
      </c>
      <c r="B23" s="171" t="s">
        <v>117</v>
      </c>
      <c r="C23" s="167" t="s">
        <v>143</v>
      </c>
      <c r="D23" s="172" t="s">
        <v>92</v>
      </c>
      <c r="E23" s="174">
        <f>(67.76+69.63+69.19+69.76+29.06+16.91)*1.2</f>
        <v>386.77199999999999</v>
      </c>
      <c r="F23" s="175">
        <v>0</v>
      </c>
      <c r="G23" s="176">
        <f t="shared" si="4"/>
        <v>0</v>
      </c>
      <c r="H23" s="156"/>
      <c r="I23" s="155"/>
      <c r="J23" s="156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83"/>
      <c r="Z23" s="185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33.75" outlineLevel="1" x14ac:dyDescent="0.2">
      <c r="A24" s="173">
        <v>14</v>
      </c>
      <c r="B24" s="171" t="s">
        <v>118</v>
      </c>
      <c r="C24" s="167" t="s">
        <v>144</v>
      </c>
      <c r="D24" s="172" t="s">
        <v>92</v>
      </c>
      <c r="E24" s="174">
        <f>(28.35+21.87+21.95+21.86+25.54)*1.2</f>
        <v>143.48399999999998</v>
      </c>
      <c r="F24" s="175">
        <v>0</v>
      </c>
      <c r="G24" s="176">
        <f t="shared" si="4"/>
        <v>0</v>
      </c>
      <c r="H24" s="156"/>
      <c r="I24" s="155"/>
      <c r="J24" s="156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83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33.75" outlineLevel="1" x14ac:dyDescent="0.2">
      <c r="A25" s="173">
        <v>15</v>
      </c>
      <c r="B25" s="171" t="s">
        <v>119</v>
      </c>
      <c r="C25" s="167" t="s">
        <v>145</v>
      </c>
      <c r="D25" s="172" t="s">
        <v>92</v>
      </c>
      <c r="E25" s="174">
        <f>(82.44+81.25+78.71+77.44+29.06+16.91)*1.2</f>
        <v>438.97199999999998</v>
      </c>
      <c r="F25" s="175">
        <v>0</v>
      </c>
      <c r="G25" s="176">
        <f t="shared" si="4"/>
        <v>0</v>
      </c>
      <c r="H25" s="156"/>
      <c r="I25" s="155"/>
      <c r="J25" s="156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83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33.75" outlineLevel="1" x14ac:dyDescent="0.2">
      <c r="A26" s="173">
        <v>16</v>
      </c>
      <c r="B26" s="171" t="s">
        <v>120</v>
      </c>
      <c r="C26" s="167" t="s">
        <v>146</v>
      </c>
      <c r="D26" s="172" t="s">
        <v>92</v>
      </c>
      <c r="E26" s="174">
        <f>(19.74+13.19+13.19+13.19+14.35)*1.2</f>
        <v>88.391999999999996</v>
      </c>
      <c r="F26" s="175">
        <v>0</v>
      </c>
      <c r="G26" s="176">
        <f t="shared" si="4"/>
        <v>0</v>
      </c>
      <c r="H26" s="156"/>
      <c r="I26" s="155"/>
      <c r="J26" s="156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83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33.75" outlineLevel="1" x14ac:dyDescent="0.2">
      <c r="A27" s="173">
        <v>17</v>
      </c>
      <c r="B27" s="171" t="s">
        <v>121</v>
      </c>
      <c r="C27" s="167" t="s">
        <v>147</v>
      </c>
      <c r="D27" s="172" t="s">
        <v>92</v>
      </c>
      <c r="E27" s="174">
        <f>(8.61+8.67+8.76+8.67+11.18)*1.2</f>
        <v>55.067999999999998</v>
      </c>
      <c r="F27" s="175">
        <v>0</v>
      </c>
      <c r="G27" s="176">
        <f t="shared" si="4"/>
        <v>0</v>
      </c>
      <c r="H27" s="156"/>
      <c r="I27" s="155"/>
      <c r="J27" s="156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83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33.75" outlineLevel="1" x14ac:dyDescent="0.2">
      <c r="A28" s="173">
        <v>18</v>
      </c>
      <c r="B28" s="171" t="s">
        <v>122</v>
      </c>
      <c r="C28" s="177" t="s">
        <v>148</v>
      </c>
      <c r="D28" s="172" t="s">
        <v>92</v>
      </c>
      <c r="E28" s="174">
        <f>(14.68+11.62+9.52+7.68)*1.2</f>
        <v>52.199999999999989</v>
      </c>
      <c r="F28" s="175">
        <v>0</v>
      </c>
      <c r="G28" s="176">
        <f t="shared" si="4"/>
        <v>0</v>
      </c>
      <c r="H28" s="156"/>
      <c r="I28" s="155"/>
      <c r="J28" s="156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83"/>
      <c r="Z28" s="186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3">
        <v>19</v>
      </c>
      <c r="B29" s="159" t="s">
        <v>175</v>
      </c>
      <c r="C29" s="166" t="s">
        <v>174</v>
      </c>
      <c r="D29" s="160"/>
      <c r="E29" s="161"/>
      <c r="F29" s="162"/>
      <c r="G29" s="163">
        <f>SUM(G30:G32)</f>
        <v>0</v>
      </c>
      <c r="H29" s="156"/>
      <c r="I29" s="155"/>
      <c r="J29" s="156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83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33.75" outlineLevel="1" x14ac:dyDescent="0.2">
      <c r="A30" s="173">
        <v>20</v>
      </c>
      <c r="B30" s="171" t="s">
        <v>176</v>
      </c>
      <c r="C30" s="177" t="s">
        <v>179</v>
      </c>
      <c r="D30" s="172" t="s">
        <v>92</v>
      </c>
      <c r="E30" s="174">
        <v>23</v>
      </c>
      <c r="F30" s="175">
        <v>0</v>
      </c>
      <c r="G30" s="176">
        <f t="shared" ref="G30:G32" si="5">ROUND(E30*F30,2)</f>
        <v>0</v>
      </c>
      <c r="H30" s="156"/>
      <c r="I30" s="155"/>
      <c r="J30" s="156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83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33.75" outlineLevel="1" x14ac:dyDescent="0.2">
      <c r="A31" s="173">
        <v>21</v>
      </c>
      <c r="B31" s="171" t="s">
        <v>177</v>
      </c>
      <c r="C31" s="177" t="s">
        <v>180</v>
      </c>
      <c r="D31" s="172" t="s">
        <v>92</v>
      </c>
      <c r="E31" s="174">
        <v>5</v>
      </c>
      <c r="F31" s="175">
        <v>0</v>
      </c>
      <c r="G31" s="176">
        <f t="shared" si="5"/>
        <v>0</v>
      </c>
      <c r="H31" s="156"/>
      <c r="I31" s="155"/>
      <c r="J31" s="156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83"/>
      <c r="Z31" s="148"/>
      <c r="AA31" s="148"/>
      <c r="AB31" s="186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12.75" customHeight="1" outlineLevel="1" x14ac:dyDescent="0.2">
      <c r="A32" s="173">
        <v>22</v>
      </c>
      <c r="B32" s="171" t="s">
        <v>178</v>
      </c>
      <c r="C32" s="177" t="s">
        <v>181</v>
      </c>
      <c r="D32" s="172" t="s">
        <v>83</v>
      </c>
      <c r="E32" s="182">
        <v>5</v>
      </c>
      <c r="F32" s="175">
        <v>0</v>
      </c>
      <c r="G32" s="176">
        <f t="shared" si="5"/>
        <v>0</v>
      </c>
      <c r="H32" s="156"/>
      <c r="I32" s="155"/>
      <c r="J32" s="156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Z32" s="183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58" t="s">
        <v>81</v>
      </c>
      <c r="B33" s="159" t="s">
        <v>55</v>
      </c>
      <c r="C33" s="166" t="s">
        <v>29</v>
      </c>
      <c r="D33" s="160"/>
      <c r="E33" s="161"/>
      <c r="F33" s="162"/>
      <c r="G33" s="163">
        <f>SUM(G34:G43)</f>
        <v>0</v>
      </c>
      <c r="H33" s="157"/>
      <c r="I33" s="157">
        <f>SUM(I34:I37)</f>
        <v>0</v>
      </c>
      <c r="J33" s="157"/>
      <c r="K33" s="157">
        <f>SUM(K34:K37)</f>
        <v>0</v>
      </c>
      <c r="L33" s="157"/>
      <c r="M33" s="157">
        <f>SUM(M34:M37)</f>
        <v>0</v>
      </c>
      <c r="N33" s="157"/>
      <c r="O33" s="157">
        <f>SUM(O34:O37)</f>
        <v>0</v>
      </c>
      <c r="P33" s="157"/>
      <c r="Q33" s="157">
        <f>SUM(Q34:Q37)</f>
        <v>0</v>
      </c>
      <c r="R33" s="157"/>
      <c r="S33" s="157"/>
      <c r="T33" s="157"/>
      <c r="U33" s="157"/>
      <c r="V33" s="157">
        <f>SUM(V34:V37)</f>
        <v>0</v>
      </c>
      <c r="W33" s="157"/>
      <c r="X33" s="157"/>
      <c r="AG33" t="s">
        <v>82</v>
      </c>
    </row>
    <row r="34" spans="1:60" outlineLevel="1" x14ac:dyDescent="0.2">
      <c r="A34" s="173">
        <v>23</v>
      </c>
      <c r="B34" s="171" t="s">
        <v>124</v>
      </c>
      <c r="C34" s="177" t="s">
        <v>123</v>
      </c>
      <c r="D34" s="172" t="s">
        <v>83</v>
      </c>
      <c r="E34" s="174">
        <v>1</v>
      </c>
      <c r="F34" s="175">
        <v>0</v>
      </c>
      <c r="G34" s="176">
        <f t="shared" ref="G34:G43" si="6">ROUND(E34*F34,2)</f>
        <v>0</v>
      </c>
      <c r="H34" s="156"/>
      <c r="I34" s="155"/>
      <c r="J34" s="156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Z34" s="184">
        <f>G8+G12+G18+G29</f>
        <v>0</v>
      </c>
      <c r="AA34" s="148">
        <f>Z34*20%</f>
        <v>0</v>
      </c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3">
        <v>24</v>
      </c>
      <c r="B35" s="171" t="s">
        <v>125</v>
      </c>
      <c r="C35" s="177" t="s">
        <v>149</v>
      </c>
      <c r="D35" s="172" t="s">
        <v>83</v>
      </c>
      <c r="E35" s="174">
        <v>24</v>
      </c>
      <c r="F35" s="175">
        <v>0</v>
      </c>
      <c r="G35" s="176">
        <f>ROUND(E35*F35,2)</f>
        <v>0</v>
      </c>
      <c r="H35" s="156"/>
      <c r="I35" s="155"/>
      <c r="J35" s="156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83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35.25" customHeight="1" outlineLevel="1" x14ac:dyDescent="0.2">
      <c r="A36" s="173">
        <v>25</v>
      </c>
      <c r="B36" s="171" t="s">
        <v>126</v>
      </c>
      <c r="C36" s="177" t="s">
        <v>184</v>
      </c>
      <c r="D36" s="179" t="s">
        <v>83</v>
      </c>
      <c r="E36" s="174">
        <v>6</v>
      </c>
      <c r="F36" s="175">
        <v>0</v>
      </c>
      <c r="G36" s="176">
        <f>ROUND(E36*F36,2)</f>
        <v>0</v>
      </c>
      <c r="H36" s="156"/>
      <c r="I36" s="155"/>
      <c r="J36" s="156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83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3">
        <v>26</v>
      </c>
      <c r="B37" s="171" t="s">
        <v>127</v>
      </c>
      <c r="C37" s="177" t="s">
        <v>150</v>
      </c>
      <c r="D37" s="180" t="s">
        <v>83</v>
      </c>
      <c r="E37" s="174">
        <v>1</v>
      </c>
      <c r="F37" s="175">
        <v>0</v>
      </c>
      <c r="G37" s="176">
        <f t="shared" si="6"/>
        <v>0</v>
      </c>
      <c r="H37" s="156">
        <v>0</v>
      </c>
      <c r="I37" s="155">
        <f>ROUND(E37*H37,2)</f>
        <v>0</v>
      </c>
      <c r="J37" s="156">
        <v>0</v>
      </c>
      <c r="K37" s="155">
        <f>ROUND(E37*J37,2)</f>
        <v>0</v>
      </c>
      <c r="L37" s="155">
        <v>21</v>
      </c>
      <c r="M37" s="155">
        <f>G37*(1+L37/100)</f>
        <v>0</v>
      </c>
      <c r="N37" s="155">
        <v>0</v>
      </c>
      <c r="O37" s="155">
        <f>ROUND(E37*N37,2)</f>
        <v>0</v>
      </c>
      <c r="P37" s="155">
        <v>0</v>
      </c>
      <c r="Q37" s="155">
        <f>ROUND(E37*P37,2)</f>
        <v>0</v>
      </c>
      <c r="R37" s="155"/>
      <c r="S37" s="155" t="s">
        <v>84</v>
      </c>
      <c r="T37" s="155" t="s">
        <v>85</v>
      </c>
      <c r="U37" s="155">
        <v>0</v>
      </c>
      <c r="V37" s="155">
        <f>ROUND(E37*U37,2)</f>
        <v>0</v>
      </c>
      <c r="W37" s="155"/>
      <c r="X37" s="155" t="s">
        <v>86</v>
      </c>
      <c r="Y37" s="183"/>
      <c r="Z37" s="184"/>
      <c r="AA37" s="186"/>
      <c r="AB37" s="148"/>
      <c r="AC37" s="148"/>
      <c r="AD37" s="148"/>
      <c r="AE37" s="148"/>
      <c r="AF37" s="148"/>
      <c r="AG37" s="148" t="s">
        <v>87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3">
        <v>27</v>
      </c>
      <c r="B38" s="171" t="s">
        <v>128</v>
      </c>
      <c r="C38" s="181" t="s">
        <v>183</v>
      </c>
      <c r="D38" s="180" t="s">
        <v>83</v>
      </c>
      <c r="E38" s="174">
        <v>106</v>
      </c>
      <c r="F38" s="175">
        <v>0</v>
      </c>
      <c r="G38" s="176">
        <f t="shared" ref="G38:G42" si="7">ROUND(E38*F38,2)</f>
        <v>0</v>
      </c>
      <c r="H38" s="156"/>
      <c r="I38" s="155"/>
      <c r="J38" s="156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83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73">
        <v>28</v>
      </c>
      <c r="B39" s="171" t="s">
        <v>158</v>
      </c>
      <c r="C39" s="181" t="s">
        <v>185</v>
      </c>
      <c r="D39" s="180" t="s">
        <v>92</v>
      </c>
      <c r="E39" s="174">
        <v>0</v>
      </c>
      <c r="F39" s="175">
        <v>0</v>
      </c>
      <c r="G39" s="176">
        <f t="shared" si="7"/>
        <v>0</v>
      </c>
      <c r="H39" s="156"/>
      <c r="I39" s="155"/>
      <c r="J39" s="156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83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3">
        <v>29</v>
      </c>
      <c r="B40" s="171" t="s">
        <v>159</v>
      </c>
      <c r="C40" s="167" t="s">
        <v>151</v>
      </c>
      <c r="D40" s="180" t="s">
        <v>83</v>
      </c>
      <c r="E40" s="174">
        <v>1</v>
      </c>
      <c r="F40" s="175">
        <v>0</v>
      </c>
      <c r="G40" s="176">
        <f t="shared" si="7"/>
        <v>0</v>
      </c>
      <c r="H40" s="156"/>
      <c r="I40" s="155"/>
      <c r="J40" s="156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83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3">
        <v>30</v>
      </c>
      <c r="B41" s="171" t="s">
        <v>160</v>
      </c>
      <c r="C41" s="167" t="s">
        <v>155</v>
      </c>
      <c r="D41" s="180" t="s">
        <v>83</v>
      </c>
      <c r="E41" s="174">
        <v>1</v>
      </c>
      <c r="F41" s="175">
        <v>0</v>
      </c>
      <c r="G41" s="176">
        <f t="shared" si="7"/>
        <v>0</v>
      </c>
      <c r="H41" s="156"/>
      <c r="I41" s="155"/>
      <c r="J41" s="156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83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3">
        <v>31</v>
      </c>
      <c r="B42" s="171" t="s">
        <v>161</v>
      </c>
      <c r="C42" s="167" t="s">
        <v>156</v>
      </c>
      <c r="D42" s="180" t="s">
        <v>83</v>
      </c>
      <c r="E42" s="174">
        <v>1</v>
      </c>
      <c r="F42" s="175">
        <v>0</v>
      </c>
      <c r="G42" s="176">
        <f t="shared" si="7"/>
        <v>0</v>
      </c>
      <c r="H42" s="156"/>
      <c r="I42" s="155"/>
      <c r="J42" s="156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83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3">
        <v>32</v>
      </c>
      <c r="B43" s="171" t="s">
        <v>192</v>
      </c>
      <c r="C43" s="167" t="s">
        <v>186</v>
      </c>
      <c r="D43" s="180" t="s">
        <v>83</v>
      </c>
      <c r="E43" s="174">
        <v>2</v>
      </c>
      <c r="F43" s="175">
        <v>0</v>
      </c>
      <c r="G43" s="176">
        <f t="shared" si="6"/>
        <v>0</v>
      </c>
      <c r="H43" s="156"/>
      <c r="I43" s="155"/>
      <c r="J43" s="156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83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8" t="s">
        <v>81</v>
      </c>
      <c r="B44" s="159" t="s">
        <v>54</v>
      </c>
      <c r="C44" s="166" t="s">
        <v>28</v>
      </c>
      <c r="D44" s="160"/>
      <c r="E44" s="161"/>
      <c r="F44" s="162"/>
      <c r="G44" s="163">
        <f>SUM(G45:G58)</f>
        <v>0</v>
      </c>
      <c r="H44" s="156"/>
      <c r="I44" s="155"/>
      <c r="J44" s="156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83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73">
        <v>33</v>
      </c>
      <c r="B45" s="164" t="s">
        <v>129</v>
      </c>
      <c r="C45" s="177" t="s">
        <v>166</v>
      </c>
      <c r="D45" s="172" t="s">
        <v>83</v>
      </c>
      <c r="E45" s="174">
        <v>6</v>
      </c>
      <c r="F45" s="175">
        <v>0</v>
      </c>
      <c r="G45" s="176">
        <f t="shared" ref="G45:G58" si="8">ROUND(E45*F45,2)</f>
        <v>0</v>
      </c>
      <c r="H45" s="156"/>
      <c r="I45" s="155"/>
      <c r="J45" s="156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83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3">
        <v>34</v>
      </c>
      <c r="B46" s="164" t="s">
        <v>130</v>
      </c>
      <c r="C46" s="177" t="s">
        <v>152</v>
      </c>
      <c r="D46" s="172" t="s">
        <v>83</v>
      </c>
      <c r="E46" s="174">
        <v>2</v>
      </c>
      <c r="F46" s="175">
        <v>0</v>
      </c>
      <c r="G46" s="176">
        <f t="shared" si="8"/>
        <v>0</v>
      </c>
      <c r="H46" s="156"/>
      <c r="I46" s="155"/>
      <c r="J46" s="156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83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3">
        <v>35</v>
      </c>
      <c r="B47" s="164" t="s">
        <v>133</v>
      </c>
      <c r="C47" s="177" t="s">
        <v>153</v>
      </c>
      <c r="D47" s="172" t="s">
        <v>83</v>
      </c>
      <c r="E47" s="174">
        <v>6</v>
      </c>
      <c r="F47" s="175">
        <v>0</v>
      </c>
      <c r="G47" s="176">
        <f t="shared" si="8"/>
        <v>0</v>
      </c>
      <c r="H47" s="156"/>
      <c r="I47" s="155"/>
      <c r="J47" s="156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83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33.75" outlineLevel="1" x14ac:dyDescent="0.2">
      <c r="A48" s="173">
        <v>36</v>
      </c>
      <c r="B48" s="164" t="s">
        <v>134</v>
      </c>
      <c r="C48" s="177" t="s">
        <v>157</v>
      </c>
      <c r="D48" s="180" t="s">
        <v>83</v>
      </c>
      <c r="E48" s="174">
        <v>81</v>
      </c>
      <c r="F48" s="175">
        <v>0</v>
      </c>
      <c r="G48" s="176">
        <f t="shared" si="8"/>
        <v>0</v>
      </c>
      <c r="H48" s="156"/>
      <c r="I48" s="155"/>
      <c r="J48" s="156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83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3">
        <v>37</v>
      </c>
      <c r="B49" s="164" t="s">
        <v>135</v>
      </c>
      <c r="C49" s="177" t="s">
        <v>98</v>
      </c>
      <c r="D49" s="172" t="s">
        <v>83</v>
      </c>
      <c r="E49" s="174">
        <v>1</v>
      </c>
      <c r="F49" s="175">
        <v>0</v>
      </c>
      <c r="G49" s="176">
        <f t="shared" si="8"/>
        <v>0</v>
      </c>
      <c r="H49" s="156"/>
      <c r="I49" s="155"/>
      <c r="J49" s="156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84"/>
      <c r="Z49" s="186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73">
        <v>38</v>
      </c>
      <c r="B50" s="164" t="s">
        <v>136</v>
      </c>
      <c r="C50" s="177" t="s">
        <v>131</v>
      </c>
      <c r="D50" s="172" t="s">
        <v>100</v>
      </c>
      <c r="E50" s="174">
        <v>20</v>
      </c>
      <c r="F50" s="175">
        <v>0</v>
      </c>
      <c r="G50" s="176">
        <f t="shared" si="8"/>
        <v>0</v>
      </c>
      <c r="H50" s="157"/>
      <c r="I50" s="157" t="e">
        <f>SUM(I51:I52)</f>
        <v>#REF!</v>
      </c>
      <c r="J50" s="157"/>
      <c r="K50" s="157" t="e">
        <f>SUM(K51:K52)</f>
        <v>#REF!</v>
      </c>
      <c r="L50" s="157"/>
      <c r="M50" s="157" t="e">
        <f>SUM(M51:M52)</f>
        <v>#REF!</v>
      </c>
      <c r="N50" s="157"/>
      <c r="O50" s="157" t="e">
        <f>SUM(O51:O52)</f>
        <v>#REF!</v>
      </c>
      <c r="P50" s="157"/>
      <c r="Q50" s="157" t="e">
        <f>SUM(Q51:Q52)</f>
        <v>#REF!</v>
      </c>
      <c r="R50" s="157"/>
      <c r="S50" s="157"/>
      <c r="T50" s="157"/>
      <c r="U50" s="157"/>
      <c r="V50" s="157" t="e">
        <f>SUM(V51:V52)</f>
        <v>#REF!</v>
      </c>
      <c r="W50" s="157"/>
      <c r="X50" s="157"/>
      <c r="AG50" t="s">
        <v>82</v>
      </c>
    </row>
    <row r="51" spans="1:60" ht="12.75" customHeight="1" outlineLevel="1" x14ac:dyDescent="0.2">
      <c r="A51" s="173">
        <v>39</v>
      </c>
      <c r="B51" s="164" t="s">
        <v>137</v>
      </c>
      <c r="C51" s="177" t="s">
        <v>95</v>
      </c>
      <c r="D51" s="172" t="s">
        <v>100</v>
      </c>
      <c r="E51" s="174">
        <v>16</v>
      </c>
      <c r="F51" s="175">
        <v>0</v>
      </c>
      <c r="G51" s="176">
        <f t="shared" si="8"/>
        <v>0</v>
      </c>
      <c r="H51" s="156">
        <v>0</v>
      </c>
      <c r="I51" s="155">
        <f>ROUND(E45*H51,2)</f>
        <v>0</v>
      </c>
      <c r="J51" s="156">
        <v>0</v>
      </c>
      <c r="K51" s="155">
        <f>ROUND(E45*J51,2)</f>
        <v>0</v>
      </c>
      <c r="L51" s="155">
        <v>21</v>
      </c>
      <c r="M51" s="155">
        <f>G45*(1+L51/100)</f>
        <v>0</v>
      </c>
      <c r="N51" s="155">
        <v>0</v>
      </c>
      <c r="O51" s="155">
        <f>ROUND(E45*N51,2)</f>
        <v>0</v>
      </c>
      <c r="P51" s="155">
        <v>0</v>
      </c>
      <c r="Q51" s="155">
        <f>ROUND(E45*P51,2)</f>
        <v>0</v>
      </c>
      <c r="R51" s="155"/>
      <c r="S51" s="155" t="s">
        <v>84</v>
      </c>
      <c r="T51" s="155" t="s">
        <v>85</v>
      </c>
      <c r="U51" s="155">
        <v>0</v>
      </c>
      <c r="V51" s="155">
        <f>ROUND(E45*U51,2)</f>
        <v>0</v>
      </c>
      <c r="W51" s="155"/>
      <c r="X51" s="155" t="s">
        <v>86</v>
      </c>
      <c r="Y51" s="183"/>
      <c r="Z51" s="148"/>
      <c r="AA51" s="148"/>
      <c r="AB51" s="148"/>
      <c r="AC51" s="148"/>
      <c r="AD51" s="148"/>
      <c r="AE51" s="148"/>
      <c r="AF51" s="148"/>
      <c r="AG51" s="148" t="s">
        <v>87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3">
        <v>40</v>
      </c>
      <c r="B52" s="164" t="s">
        <v>138</v>
      </c>
      <c r="C52" s="177" t="s">
        <v>96</v>
      </c>
      <c r="D52" s="172" t="s">
        <v>83</v>
      </c>
      <c r="E52" s="174">
        <v>106</v>
      </c>
      <c r="F52" s="175">
        <v>0</v>
      </c>
      <c r="G52" s="176">
        <f t="shared" si="8"/>
        <v>0</v>
      </c>
      <c r="H52" s="156">
        <v>0</v>
      </c>
      <c r="I52" s="155" t="e">
        <f>ROUND(#REF!*H52,2)</f>
        <v>#REF!</v>
      </c>
      <c r="J52" s="156">
        <v>0</v>
      </c>
      <c r="K52" s="155" t="e">
        <f>ROUND(#REF!*J52,2)</f>
        <v>#REF!</v>
      </c>
      <c r="L52" s="155">
        <v>21</v>
      </c>
      <c r="M52" s="155" t="e">
        <f>#REF!*(1+L52/100)</f>
        <v>#REF!</v>
      </c>
      <c r="N52" s="155">
        <v>0</v>
      </c>
      <c r="O52" s="155" t="e">
        <f>ROUND(#REF!*N52,2)</f>
        <v>#REF!</v>
      </c>
      <c r="P52" s="155">
        <v>0</v>
      </c>
      <c r="Q52" s="155" t="e">
        <f>ROUND(#REF!*P52,2)</f>
        <v>#REF!</v>
      </c>
      <c r="R52" s="155"/>
      <c r="S52" s="155" t="s">
        <v>84</v>
      </c>
      <c r="T52" s="155" t="s">
        <v>85</v>
      </c>
      <c r="U52" s="155">
        <v>0</v>
      </c>
      <c r="V52" s="155" t="e">
        <f>ROUND(#REF!*U52,2)</f>
        <v>#REF!</v>
      </c>
      <c r="W52" s="155"/>
      <c r="X52" s="155" t="s">
        <v>86</v>
      </c>
      <c r="Y52" s="184"/>
      <c r="Z52" s="148"/>
      <c r="AA52" s="148"/>
      <c r="AB52" s="148"/>
      <c r="AC52" s="148"/>
      <c r="AD52" s="148"/>
      <c r="AE52" s="148"/>
      <c r="AF52" s="148"/>
      <c r="AG52" s="148" t="s">
        <v>87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3">
        <v>41</v>
      </c>
      <c r="B53" s="164" t="s">
        <v>139</v>
      </c>
      <c r="C53" s="177" t="s">
        <v>102</v>
      </c>
      <c r="D53" s="172" t="s">
        <v>83</v>
      </c>
      <c r="E53" s="174">
        <v>1</v>
      </c>
      <c r="F53" s="175">
        <v>0</v>
      </c>
      <c r="G53" s="176">
        <f t="shared" si="8"/>
        <v>0</v>
      </c>
      <c r="H53" s="156"/>
      <c r="I53" s="155"/>
      <c r="J53" s="156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83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3">
        <v>42</v>
      </c>
      <c r="B54" s="164" t="s">
        <v>140</v>
      </c>
      <c r="C54" s="177" t="s">
        <v>97</v>
      </c>
      <c r="D54" s="172" t="s">
        <v>100</v>
      </c>
      <c r="E54" s="174">
        <v>32</v>
      </c>
      <c r="F54" s="175">
        <v>0</v>
      </c>
      <c r="G54" s="176">
        <f t="shared" si="8"/>
        <v>0</v>
      </c>
      <c r="H54" s="156"/>
      <c r="I54" s="155"/>
      <c r="J54" s="156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83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3">
        <v>43</v>
      </c>
      <c r="B55" s="164" t="s">
        <v>162</v>
      </c>
      <c r="C55" s="177" t="s">
        <v>99</v>
      </c>
      <c r="D55" s="172" t="s">
        <v>101</v>
      </c>
      <c r="E55" s="174">
        <v>39</v>
      </c>
      <c r="F55" s="175">
        <v>0</v>
      </c>
      <c r="G55" s="176">
        <f t="shared" si="8"/>
        <v>0</v>
      </c>
      <c r="H55" s="156"/>
      <c r="I55" s="155"/>
      <c r="J55" s="156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83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3">
        <v>44</v>
      </c>
      <c r="B56" s="164" t="s">
        <v>163</v>
      </c>
      <c r="C56" s="177" t="s">
        <v>154</v>
      </c>
      <c r="D56" s="172" t="s">
        <v>101</v>
      </c>
      <c r="E56" s="174">
        <v>1</v>
      </c>
      <c r="F56" s="175">
        <v>0</v>
      </c>
      <c r="G56" s="176">
        <f t="shared" si="8"/>
        <v>0</v>
      </c>
      <c r="H56" s="156"/>
      <c r="I56" s="155"/>
      <c r="J56" s="156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83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3">
        <v>45</v>
      </c>
      <c r="B57" s="164" t="s">
        <v>164</v>
      </c>
      <c r="C57" s="177" t="s">
        <v>103</v>
      </c>
      <c r="D57" s="172" t="s">
        <v>83</v>
      </c>
      <c r="E57" s="174">
        <v>1</v>
      </c>
      <c r="F57" s="175">
        <v>0</v>
      </c>
      <c r="G57" s="176">
        <f t="shared" si="8"/>
        <v>0</v>
      </c>
      <c r="H57" s="156"/>
      <c r="I57" s="155"/>
      <c r="J57" s="156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83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3">
        <v>46</v>
      </c>
      <c r="B58" s="164" t="s">
        <v>165</v>
      </c>
      <c r="C58" s="177" t="s">
        <v>132</v>
      </c>
      <c r="D58" s="172" t="s">
        <v>187</v>
      </c>
      <c r="E58" s="174">
        <v>3.5</v>
      </c>
      <c r="F58" s="175">
        <v>0</v>
      </c>
      <c r="G58" s="176">
        <f t="shared" si="8"/>
        <v>0</v>
      </c>
      <c r="H58" s="156"/>
      <c r="I58" s="155"/>
      <c r="J58" s="156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83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1"/>
      <c r="B59" s="152" t="s">
        <v>30</v>
      </c>
      <c r="C59" s="169"/>
      <c r="D59" s="153"/>
      <c r="E59" s="154"/>
      <c r="F59" s="154"/>
      <c r="G59" s="165">
        <f>G8+G12+G18+G29+G33+G44</f>
        <v>0</v>
      </c>
      <c r="H59" s="156"/>
      <c r="I59" s="155"/>
      <c r="J59" s="156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83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3"/>
      <c r="B60" s="4"/>
      <c r="C60" s="168"/>
      <c r="D60" s="6"/>
      <c r="E60" s="3"/>
      <c r="F60" s="3"/>
      <c r="G60" s="3"/>
      <c r="H60" s="156"/>
      <c r="I60" s="155"/>
      <c r="J60" s="156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83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3"/>
      <c r="B61" s="4"/>
      <c r="C61" s="168"/>
      <c r="D61" s="6"/>
      <c r="E61" s="3"/>
      <c r="F61" s="3"/>
      <c r="G61" s="3"/>
      <c r="H61" s="156"/>
      <c r="I61" s="155"/>
      <c r="J61" s="156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83"/>
      <c r="Z61" s="148"/>
      <c r="AA61" s="148"/>
      <c r="AB61" s="148"/>
      <c r="AC61" s="148"/>
      <c r="AD61" s="148"/>
      <c r="AE61" s="148"/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259" t="s">
        <v>89</v>
      </c>
      <c r="B62" s="259"/>
      <c r="C62" s="260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E62">
        <v>15</v>
      </c>
      <c r="AF62">
        <v>21</v>
      </c>
      <c r="AG62" t="s">
        <v>68</v>
      </c>
    </row>
    <row r="63" spans="1:60" x14ac:dyDescent="0.2">
      <c r="A63" s="243"/>
      <c r="B63" s="244"/>
      <c r="C63" s="244"/>
      <c r="D63" s="244"/>
      <c r="E63" s="244"/>
      <c r="F63" s="244"/>
      <c r="G63" s="245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AE63">
        <f ca="1">SUMIF(L7:L52,AE62,G7:G45)</f>
        <v>0</v>
      </c>
      <c r="AF63">
        <f ca="1">SUMIF(L7:L52,AF62,G7:G45)</f>
        <v>0</v>
      </c>
      <c r="AG63" t="s">
        <v>88</v>
      </c>
    </row>
    <row r="64" spans="1:60" x14ac:dyDescent="0.2">
      <c r="A64" s="246"/>
      <c r="B64" s="247"/>
      <c r="C64" s="247"/>
      <c r="D64" s="247"/>
      <c r="E64" s="247"/>
      <c r="F64" s="247"/>
      <c r="G64" s="248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246"/>
      <c r="B65" s="247"/>
      <c r="C65" s="247"/>
      <c r="D65" s="247"/>
      <c r="E65" s="247"/>
      <c r="F65" s="247"/>
      <c r="G65" s="248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246"/>
      <c r="B66" s="247"/>
      <c r="C66" s="247"/>
      <c r="D66" s="247"/>
      <c r="E66" s="247"/>
      <c r="F66" s="247"/>
      <c r="G66" s="248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249"/>
      <c r="B67" s="250"/>
      <c r="C67" s="250"/>
      <c r="D67" s="250"/>
      <c r="E67" s="250"/>
      <c r="F67" s="250"/>
      <c r="G67" s="251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G67" t="s">
        <v>90</v>
      </c>
    </row>
    <row r="68" spans="1:33" x14ac:dyDescent="0.2">
      <c r="A68" s="3"/>
      <c r="B68" s="4"/>
      <c r="C68" s="168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C69" s="170"/>
      <c r="D69" s="10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D70" s="10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D71" s="10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D72" s="10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D73" s="10"/>
      <c r="AG73" t="s">
        <v>91</v>
      </c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</sheetData>
  <mergeCells count="6">
    <mergeCell ref="A63:G67"/>
    <mergeCell ref="A1:G1"/>
    <mergeCell ref="C2:G2"/>
    <mergeCell ref="C3:G3"/>
    <mergeCell ref="C4:G4"/>
    <mergeCell ref="A62:C62"/>
  </mergeCells>
  <phoneticPr fontId="16" type="noConversion"/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'Výkaz výměr'!Názvy_tisku</vt:lpstr>
      <vt:lpstr>oadresa</vt:lpstr>
      <vt:lpstr>Stavba!Objednatel</vt:lpstr>
      <vt:lpstr>Stavba!Objekt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</dc:creator>
  <cp:lastModifiedBy>Adéla</cp:lastModifiedBy>
  <cp:lastPrinted>2021-03-22T08:13:43Z</cp:lastPrinted>
  <dcterms:created xsi:type="dcterms:W3CDTF">2009-04-08T07:15:50Z</dcterms:created>
  <dcterms:modified xsi:type="dcterms:W3CDTF">2022-11-11T13:51:19Z</dcterms:modified>
</cp:coreProperties>
</file>