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28" yWindow="65428" windowWidth="23256" windowHeight="12456" activeTab="3"/>
  </bookViews>
  <sheets>
    <sheet name="Seznam OM" sheetId="1" r:id="rId1"/>
    <sheet name="Spotřeba tepla" sheetId="2" r:id="rId2"/>
    <sheet name="Spotřeba zemního plynu" sheetId="3" r:id="rId3"/>
    <sheet name="Spotřeba elektřiny" sheetId="4" r:id="rId4"/>
    <sheet name="List1" sheetId="6" r:id="rId5"/>
    <sheet name="Souhrn" sheetId="5" r:id="rId6"/>
  </sheets>
  <definedNames>
    <definedName name="_xlnm._FilterDatabase" localSheetId="1" hidden="1">'Spotřeba tepla'!$B$1:$B$96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Pavel Řehák</author>
  </authors>
  <commentList>
    <comment ref="B13" authorId="0">
      <text>
        <r>
          <rPr>
            <b/>
            <sz val="9"/>
            <rFont val="Tahoma"/>
            <family val="2"/>
          </rPr>
          <t>Pavel Řehák:</t>
        </r>
        <r>
          <rPr>
            <sz val="9"/>
            <rFont val="Tahoma"/>
            <family val="2"/>
          </rPr>
          <t xml:space="preserve">
v rámci EPC budu mít podklad</t>
        </r>
      </text>
    </comment>
    <comment ref="B34" authorId="0">
      <text>
        <r>
          <rPr>
            <b/>
            <sz val="9"/>
            <rFont val="Tahoma"/>
            <family val="2"/>
          </rPr>
          <t>Pavel Řehák:</t>
        </r>
        <r>
          <rPr>
            <sz val="9"/>
            <rFont val="Tahoma"/>
            <family val="2"/>
          </rPr>
          <t xml:space="preserve">
v rámci EPC budu mít podklad</t>
        </r>
      </text>
    </comment>
    <comment ref="B99" authorId="0">
      <text>
        <r>
          <rPr>
            <b/>
            <sz val="9"/>
            <rFont val="Tahoma"/>
            <family val="2"/>
          </rPr>
          <t>Pavel Řehák:</t>
        </r>
        <r>
          <rPr>
            <sz val="9"/>
            <rFont val="Tahoma"/>
            <family val="2"/>
          </rPr>
          <t xml:space="preserve">
existuje v přehledu faktur, není zde v seznamu
</t>
        </r>
      </text>
    </comment>
  </commentList>
</comments>
</file>

<file path=xl/sharedStrings.xml><?xml version="1.0" encoding="utf-8"?>
<sst xmlns="http://schemas.openxmlformats.org/spreadsheetml/2006/main" count="5649" uniqueCount="643">
  <si>
    <t>Legenda</t>
  </si>
  <si>
    <t>Potřeba upřesnit adresu objektu. V případě, že objekt nemá adresu, doplnit parcelní číslo a katastrální území.</t>
  </si>
  <si>
    <t>Doplnit spotřeby/faktury za uvedené objekty/odběrná místa, případně doplnit do energy broker</t>
  </si>
  <si>
    <t>Spotřeba elektřiny (MWh/rok)</t>
  </si>
  <si>
    <t>Spotřeba zemního plynu (MWh/rok)</t>
  </si>
  <si>
    <t>Spotřeba tepla (GJ/rok)</t>
  </si>
  <si>
    <t>Spotřeba TUV (GJ/rok)</t>
  </si>
  <si>
    <t>EAN</t>
  </si>
  <si>
    <t>Organizace</t>
  </si>
  <si>
    <t>Adresa</t>
  </si>
  <si>
    <t>Elektřina  - orientační spotřeba (MWh/rok)</t>
  </si>
  <si>
    <t>Počet odběrných míst elektřiny</t>
  </si>
  <si>
    <t>Průměr za 3 roky</t>
  </si>
  <si>
    <t>Počet odběrných míst</t>
  </si>
  <si>
    <t>Plocha střechy pro FV (půdorysný průmět)</t>
  </si>
  <si>
    <t>Plocha střechy - zastavěná plocha</t>
  </si>
  <si>
    <t>EPC</t>
  </si>
  <si>
    <t>859182400200004957</t>
  </si>
  <si>
    <t>Zimní stadion</t>
  </si>
  <si>
    <t>Pod Zámkem 2881/5, Břeclav</t>
  </si>
  <si>
    <t>859182400200352461
859182400200350993
859182400200352751
859182400200352645</t>
  </si>
  <si>
    <t>Městský úřad</t>
  </si>
  <si>
    <t xml:space="preserve"> Náměstí TGM 42/3, Břeclav</t>
  </si>
  <si>
    <t>Rekonstrukce - plánovaná</t>
  </si>
  <si>
    <t>859182400211932423</t>
  </si>
  <si>
    <t xml:space="preserve">Krytý bazén </t>
  </si>
  <si>
    <t>Fibichova 3385/1, Břeclav</t>
  </si>
  <si>
    <t>859182400200428746</t>
  </si>
  <si>
    <t>Domov seniorů</t>
  </si>
  <si>
    <t>Na Pěšině 2842/13, Břeclav</t>
  </si>
  <si>
    <t>859182400200355264</t>
  </si>
  <si>
    <t>ZŠ Slovácká</t>
  </si>
  <si>
    <t>Slovácká 2853/40</t>
  </si>
  <si>
    <t>859182400200768934</t>
  </si>
  <si>
    <t>Dům školství</t>
  </si>
  <si>
    <t>17.listopadu 2995/1A, Břeclav</t>
  </si>
  <si>
    <t>859182400200587115
859182400200371066
859182400200371219
859182400200371325</t>
  </si>
  <si>
    <t>Městské muzeum a galerie Břeclav, příspěvková organizace
Kino
Odbor majetkový</t>
  </si>
  <si>
    <t>U Tržiště  2085/1, Břeclav</t>
  </si>
  <si>
    <t>859182400201454119
859182400201454478
859182400200542497</t>
  </si>
  <si>
    <t>Základní škola Břeclav, Na Valtické 31 A</t>
  </si>
  <si>
    <t>Na Valtické 31a, Břeclav</t>
  </si>
  <si>
    <t>Již je</t>
  </si>
  <si>
    <t>859182400200348990
859182400212904573</t>
  </si>
  <si>
    <t>Městská policie</t>
  </si>
  <si>
    <t>Kupkova 3, Břeclav</t>
  </si>
  <si>
    <t>859182400200584466</t>
  </si>
  <si>
    <t>Městské muzeum a galerie Břeclav, příspěvková organizace</t>
  </si>
  <si>
    <t>U Tržiště 324/8 - Turist. inform. středisko, Lichtenštejnský dům</t>
  </si>
  <si>
    <t>859182400200348907</t>
  </si>
  <si>
    <t>Základní škola a Mateřská škola Břeclav, Kupkova 1</t>
  </si>
  <si>
    <t>Kupkova 1020/1, Břeclav</t>
  </si>
  <si>
    <t>859182400200261763</t>
  </si>
  <si>
    <t>Základní škola Břeclav, Komenského 2</t>
  </si>
  <si>
    <t>Osvobození 1, Břeclav</t>
  </si>
  <si>
    <t>859182400200352645</t>
  </si>
  <si>
    <t>MěÚ</t>
  </si>
  <si>
    <t>U Stadionu 2129/2</t>
  </si>
  <si>
    <t>859182400200813856
859182400200541674</t>
  </si>
  <si>
    <t>Tereza Břeclav</t>
  </si>
  <si>
    <t>Lesní 10, Břeclav</t>
  </si>
  <si>
    <t>859182400200583759</t>
  </si>
  <si>
    <t>Městská knihovna</t>
  </si>
  <si>
    <t>Národních hrdinů 16/9, Břeclav</t>
  </si>
  <si>
    <t>859182400201454096
859182400200569777</t>
  </si>
  <si>
    <t>Základní škola a Mateřská škola Břeclav, Kpt. Nálepky 7</t>
  </si>
  <si>
    <t>Kpt. Nálepky 186/7, Břeclav</t>
  </si>
  <si>
    <t>859182400200294921</t>
  </si>
  <si>
    <t>Základní škola a Mateřská škola Břeclav, Kupkova</t>
  </si>
  <si>
    <t>Dukelských hrdinů 2590/3, Břeclav</t>
  </si>
  <si>
    <t>859182400200584619
859182400200584725</t>
  </si>
  <si>
    <t>Zámeček Pohansko, Pohansko 206</t>
  </si>
  <si>
    <t>859182400200362514</t>
  </si>
  <si>
    <t>Sovadinova 465/3, Břeclav</t>
  </si>
  <si>
    <t>859182400200362613</t>
  </si>
  <si>
    <t>Sovadinova 565/1, 69002 Břeclav</t>
  </si>
  <si>
    <t>859182400201454065
859182400201454072</t>
  </si>
  <si>
    <t>Kpt. Nálepky 277/5, Břeclav</t>
  </si>
  <si>
    <t>859182400200431081</t>
  </si>
  <si>
    <t>Základní škola Jana Noháče, Břeclav, Školní 16</t>
  </si>
  <si>
    <t>Školní 1589/16, Břeclav</t>
  </si>
  <si>
    <t>859182400200348532</t>
  </si>
  <si>
    <t>Základní umělecká škola Břeclav, Křížkovského 4</t>
  </si>
  <si>
    <t>Křížkovského 642/4, Břeclav</t>
  </si>
  <si>
    <t>859182400200348808</t>
  </si>
  <si>
    <t>Mateřská škola Břeclav, U Splavu 2765</t>
  </si>
  <si>
    <t>U splavu 2765/9, 69002 Břeclav</t>
  </si>
  <si>
    <t>859182400200294211
859182400210479127</t>
  </si>
  <si>
    <t>Dukelských hrdinů 2747, 69002 Břeclav</t>
  </si>
  <si>
    <t>859182400200261350</t>
  </si>
  <si>
    <t>Komenského 14, Břeclav</t>
  </si>
  <si>
    <t>859182400200262500</t>
  </si>
  <si>
    <t>Slovácký krúžek Poštorná - Koňaré, z.s.</t>
  </si>
  <si>
    <t>Hraniční 386/34, 69141 Břeclav</t>
  </si>
  <si>
    <t>859182400200823640</t>
  </si>
  <si>
    <t>Mateřská škola Břeclav, Na Valtické 727</t>
  </si>
  <si>
    <t>Na Valtické 727, Břeclav</t>
  </si>
  <si>
    <t>859182400200260995
859182400200261060
859182400200261169</t>
  </si>
  <si>
    <t>Komenského 2, Břeclav</t>
  </si>
  <si>
    <t>859182400201447616</t>
  </si>
  <si>
    <t>Tyršův sad 334/3, Břeclav</t>
  </si>
  <si>
    <t>859182400200583322
859182400200583414
859182400200594984
859182400200603587
859182400200603679
859182400208681860
859182400208746897</t>
  </si>
  <si>
    <t>DPS-Charitní ošetřovatelská a pečovatelská služba</t>
  </si>
  <si>
    <t>Seniorů 3196/1, Břeclav</t>
  </si>
  <si>
    <t>859182400200804830
859182400200804786</t>
  </si>
  <si>
    <t>Koupaliště</t>
  </si>
  <si>
    <t>Veslařská 3, Břeclav</t>
  </si>
  <si>
    <t>859182400201453914</t>
  </si>
  <si>
    <t>Odbor majetkový</t>
  </si>
  <si>
    <t>Lednická 515/21</t>
  </si>
  <si>
    <t>859182400200271519
859182400200271427</t>
  </si>
  <si>
    <t>Mateřská škola Břeclav, Okružní 1091/7</t>
  </si>
  <si>
    <t>MŠ Okružní 1091/7</t>
  </si>
  <si>
    <t>859182400200372421</t>
  </si>
  <si>
    <t>Zámecké náměstí 3096</t>
  </si>
  <si>
    <t>859182400210639781</t>
  </si>
  <si>
    <t>Národních hrdinů 278/22</t>
  </si>
  <si>
    <t>859182400200741104</t>
  </si>
  <si>
    <t>Dukelských hrdinů 2799/2, Břeclav</t>
  </si>
  <si>
    <t>859182400200774416</t>
  </si>
  <si>
    <t>Bývalý MÚ</t>
  </si>
  <si>
    <t>nám.TGM 38/10</t>
  </si>
  <si>
    <t>859182400200577598</t>
  </si>
  <si>
    <t>sady 28. října (pavilon) , 69002 Břeclav</t>
  </si>
  <si>
    <t>859182400200263293</t>
  </si>
  <si>
    <t>Tř.1. Máje 57/39</t>
  </si>
  <si>
    <t>859182400210875691</t>
  </si>
  <si>
    <t>Hasičárna</t>
  </si>
  <si>
    <t>859182400200553257</t>
  </si>
  <si>
    <t>Mateřská škola Břeclav, Hřbitovní 8</t>
  </si>
  <si>
    <t>Hřbitovní 1760/8, 69003 Břeclav</t>
  </si>
  <si>
    <t>859182400200292026</t>
  </si>
  <si>
    <t>Mateřská škola Břeclav, Břetislavova 6</t>
  </si>
  <si>
    <t>Břetislavova 578/6, 69002 Břeclav</t>
  </si>
  <si>
    <t>859182400210646048</t>
  </si>
  <si>
    <t>Rovnice 171/1, Poštorná</t>
  </si>
  <si>
    <t>859182400200348617</t>
  </si>
  <si>
    <t>Křížkovského 1136/2, Břeclav</t>
  </si>
  <si>
    <t>859182400200760044</t>
  </si>
  <si>
    <t>K.H.Máchy 3218/26, 69002 Břeclav</t>
  </si>
  <si>
    <t>859182400200760136</t>
  </si>
  <si>
    <t>K.H.Máchy 3219/27, 69002 Břeclav</t>
  </si>
  <si>
    <t>859182400211081046</t>
  </si>
  <si>
    <t>sady 28. října (sklad) , 69002 Břeclav</t>
  </si>
  <si>
    <t>859182400200308734</t>
  </si>
  <si>
    <t>sady 28. října (pavilon A3) , 69002 Břeclav</t>
  </si>
  <si>
    <t>859182400200300561</t>
  </si>
  <si>
    <t>Domov seniorů Břeclav, příspěvková organizace</t>
  </si>
  <si>
    <t>Stromořadní 5, 69002 Břeclav</t>
  </si>
  <si>
    <t>859182400200367762</t>
  </si>
  <si>
    <t>Národních hrdinů 283/43</t>
  </si>
  <si>
    <t>859182400200531835</t>
  </si>
  <si>
    <t>Ostrov 5692</t>
  </si>
  <si>
    <t>859182400200355028
859182400200355141</t>
  </si>
  <si>
    <t>Slovácká 39, 69002 Břeclav</t>
  </si>
  <si>
    <t>859182400200225796</t>
  </si>
  <si>
    <t>Palackého 423/17, Podivín</t>
  </si>
  <si>
    <t>859182400211710724</t>
  </si>
  <si>
    <t>Národních hrdinů 22</t>
  </si>
  <si>
    <t>859182400200648045</t>
  </si>
  <si>
    <t>Národních hrdinů 2010/18, 69002 Břeclav</t>
  </si>
  <si>
    <t>859182400200303562</t>
  </si>
  <si>
    <t>Lanžhotská spr. bud.</t>
  </si>
  <si>
    <t>859182400200525780</t>
  </si>
  <si>
    <t>Slovácká 2747, 69002 Břeclav</t>
  </si>
  <si>
    <t>859182400210990837</t>
  </si>
  <si>
    <t>Zámecké nám. K/481/1</t>
  </si>
  <si>
    <t>859182400200303463</t>
  </si>
  <si>
    <t>Lanžhotská obř. síň</t>
  </si>
  <si>
    <t>859182400200420801</t>
  </si>
  <si>
    <t>Hřbitovní obř.síň</t>
  </si>
  <si>
    <t>859182400200311895</t>
  </si>
  <si>
    <t>Národního odboje 1217/17 , 69002 Břeclav</t>
  </si>
  <si>
    <t>859182400211789317</t>
  </si>
  <si>
    <t>Na Valtické K/2103/1/C, Břeclav</t>
  </si>
  <si>
    <t>859182400200263880</t>
  </si>
  <si>
    <t>Hájová obř. síň</t>
  </si>
  <si>
    <t>859182400211233056</t>
  </si>
  <si>
    <t>sady 28. října K/593/1, Břeclav</t>
  </si>
  <si>
    <t>859182400200829949</t>
  </si>
  <si>
    <t>U splavu 3047/2B</t>
  </si>
  <si>
    <t>859182400200310690</t>
  </si>
  <si>
    <t>Na Zahradách 20</t>
  </si>
  <si>
    <t>859182400200759840</t>
  </si>
  <si>
    <t>K.H.Máchy 3216/24, 69002 Břeclav</t>
  </si>
  <si>
    <t>859182400200759901</t>
  </si>
  <si>
    <t>K.H.Máchy 3217/25, 69002 Břeclav</t>
  </si>
  <si>
    <t>859182400212100562</t>
  </si>
  <si>
    <t>Lidická 3411/33b, Břeclav</t>
  </si>
  <si>
    <t>859182400211789331</t>
  </si>
  <si>
    <t>Na Valtické K/2181/1/A, Břeclav</t>
  </si>
  <si>
    <t>859182400200303371</t>
  </si>
  <si>
    <t>Krátká 1284/8</t>
  </si>
  <si>
    <t>859182400211789355</t>
  </si>
  <si>
    <t>Na Valtické K/2181/6, Břeclav</t>
  </si>
  <si>
    <t>859182400211789324</t>
  </si>
  <si>
    <t>Na Valtické K/2103/1/D, Břeclav</t>
  </si>
  <si>
    <t>859182400211920253</t>
  </si>
  <si>
    <t>Národních hrdinů K/3726/2, Břeclav</t>
  </si>
  <si>
    <t>859182400211920222</t>
  </si>
  <si>
    <t>třída 1. máje K/3681, Břeclav</t>
  </si>
  <si>
    <t>859182400211746877</t>
  </si>
  <si>
    <t>Svodinova K/181, Břeclav</t>
  </si>
  <si>
    <t>859182400200524677</t>
  </si>
  <si>
    <t>Národních hrdinů 311/20</t>
  </si>
  <si>
    <t>859182400200369650</t>
  </si>
  <si>
    <t>Národních hrdinů 300/47</t>
  </si>
  <si>
    <t>859182400200644696</t>
  </si>
  <si>
    <t>veřejné WC U stadionu</t>
  </si>
  <si>
    <t>859182400200429026</t>
  </si>
  <si>
    <t>Na pěšině 1865/18</t>
  </si>
  <si>
    <t>859182400200310829</t>
  </si>
  <si>
    <t>Na Zahradách 21</t>
  </si>
  <si>
    <t>859182400200310645</t>
  </si>
  <si>
    <t>Na Zahradách 19</t>
  </si>
  <si>
    <t>859182400200312939</t>
  </si>
  <si>
    <t>Riegrova 1010/27</t>
  </si>
  <si>
    <t>859182400200311789</t>
  </si>
  <si>
    <t>Národního odboje 1217/17</t>
  </si>
  <si>
    <t>859182400200303913</t>
  </si>
  <si>
    <t>Lanžhotská 449/11</t>
  </si>
  <si>
    <t>859182400200308956</t>
  </si>
  <si>
    <t>Sady 28. října 588/2</t>
  </si>
  <si>
    <t>859182400211192018</t>
  </si>
  <si>
    <t>Národních hrdinů 300/47A</t>
  </si>
  <si>
    <t>859182400200344831</t>
  </si>
  <si>
    <t>Chodská 1371/2</t>
  </si>
  <si>
    <t>859182400200288753</t>
  </si>
  <si>
    <t>Bratislavská 4</t>
  </si>
  <si>
    <t>859182400211745000</t>
  </si>
  <si>
    <t>Husova K/191/20, Břeclav</t>
  </si>
  <si>
    <t>859182400211167030</t>
  </si>
  <si>
    <t>Odbor rozvoje a správy</t>
  </si>
  <si>
    <t>SNP – Tyršův sad č. 58</t>
  </si>
  <si>
    <t>Červená ZŠ a MŠ</t>
  </si>
  <si>
    <t>Veřejné osvětlení a jiné</t>
  </si>
  <si>
    <t>859182400201454102</t>
  </si>
  <si>
    <t>Technické služby, organizační složka</t>
  </si>
  <si>
    <t>Na Valtické I VO č. 46</t>
  </si>
  <si>
    <t>859182400201447654</t>
  </si>
  <si>
    <t>Lednická VO č. 34</t>
  </si>
  <si>
    <t>859182400200315152</t>
  </si>
  <si>
    <t>Šilingrova – VO č. 4</t>
  </si>
  <si>
    <t>859182400211378849</t>
  </si>
  <si>
    <t>Slovácká K/3729/1 – IDS JMK - Kamera</t>
  </si>
  <si>
    <t>859182400200263118</t>
  </si>
  <si>
    <t>1. máje – u sladovny – VO č. 26</t>
  </si>
  <si>
    <t>859182400200428289</t>
  </si>
  <si>
    <t>Na Pěšině VO č. 16</t>
  </si>
  <si>
    <t>859182400210566926</t>
  </si>
  <si>
    <t>Národních hrdinů – cukrovar VO č. 37</t>
  </si>
  <si>
    <t>859182400200256707</t>
  </si>
  <si>
    <t>Nádražní VO č. 32</t>
  </si>
  <si>
    <t>859182400200370328</t>
  </si>
  <si>
    <t>U Cukrovaru VO č. 20</t>
  </si>
  <si>
    <t>859182400200308574</t>
  </si>
  <si>
    <t>Sady 28. října – pěší zóna VO č. 54</t>
  </si>
  <si>
    <t>859182400200354939</t>
  </si>
  <si>
    <t>Slovácká VO č. 10</t>
  </si>
  <si>
    <t>859182400200425325</t>
  </si>
  <si>
    <t>Mendlova VO č. 17</t>
  </si>
  <si>
    <t>859182400200271649</t>
  </si>
  <si>
    <t>ČSA I VO č. 43</t>
  </si>
  <si>
    <t>859182400200293948</t>
  </si>
  <si>
    <t>Dukelských hrdinů VO č. 12</t>
  </si>
  <si>
    <t>859182400200351099</t>
  </si>
  <si>
    <t>Nám. T. G. Masaryka VO č. 25</t>
  </si>
  <si>
    <t>859182400200262708</t>
  </si>
  <si>
    <t>Fučíkova VO č. 29</t>
  </si>
  <si>
    <t>859182400200362507</t>
  </si>
  <si>
    <t>Na Zahradách VO č. 13</t>
  </si>
  <si>
    <t>859182400200422270</t>
  </si>
  <si>
    <t>Lidická – Sigma VO č. 19</t>
  </si>
  <si>
    <t>859182400200338670</t>
  </si>
  <si>
    <t>Fintajslova – VO č. 27</t>
  </si>
  <si>
    <t>859182400200609527</t>
  </si>
  <si>
    <t>Dělnická VO č. 53</t>
  </si>
  <si>
    <t>859182400200363900</t>
  </si>
  <si>
    <t>U Splavu VO č. 41</t>
  </si>
  <si>
    <t>859182400200371950</t>
  </si>
  <si>
    <t>Fibichova VO č. 22</t>
  </si>
  <si>
    <t>859182400200372162</t>
  </si>
  <si>
    <t>Zámek – VO č. 23</t>
  </si>
  <si>
    <t>859182400200300820</t>
  </si>
  <si>
    <t>Stromořadní – VO č. 8</t>
  </si>
  <si>
    <t>859182400200345692</t>
  </si>
  <si>
    <t>17. listopadu VO č. 21</t>
  </si>
  <si>
    <t>859182400200369872</t>
  </si>
  <si>
    <t>1. máje – u Lidlu – VO č. 24</t>
  </si>
  <si>
    <t>859182400200302329</t>
  </si>
  <si>
    <t>Jungmannova – VO č. 6</t>
  </si>
  <si>
    <t>859182400201454133</t>
  </si>
  <si>
    <t>Na Valtické III – VO č. 52</t>
  </si>
  <si>
    <t>859182400200292408</t>
  </si>
  <si>
    <t>Čechova – VO č. 7</t>
  </si>
  <si>
    <t>859182400200291135</t>
  </si>
  <si>
    <t>Březinova – VO č. 1</t>
  </si>
  <si>
    <t>859182400200287947</t>
  </si>
  <si>
    <t>Bratislavská – VO č. 2</t>
  </si>
  <si>
    <t>859182400200430213</t>
  </si>
  <si>
    <t>Gen. Šimka VO č. 42</t>
  </si>
  <si>
    <t>859182400200345067</t>
  </si>
  <si>
    <t>Bří Mrštíků – VO č. 26</t>
  </si>
  <si>
    <t>859182400200428159</t>
  </si>
  <si>
    <t>Mánesova – U Zbrodku VO č. 18</t>
  </si>
  <si>
    <t>859182400201454089</t>
  </si>
  <si>
    <t>Na Valtické II – VO č. 48</t>
  </si>
  <si>
    <t>859182400200372643</t>
  </si>
  <si>
    <t>U nemocnice VO č. 51</t>
  </si>
  <si>
    <t>859182400200256905</t>
  </si>
  <si>
    <t>ČSA II VO č. 44</t>
  </si>
  <si>
    <t>859182400200433658</t>
  </si>
  <si>
    <t>Na Zvolenci VO č. 33</t>
  </si>
  <si>
    <t>859182400200348426</t>
  </si>
  <si>
    <t>Kpt. Jaroše VO č. 15</t>
  </si>
  <si>
    <t>859182400200427893</t>
  </si>
  <si>
    <t>Na Ostrově VO č. 45</t>
  </si>
  <si>
    <t>859182400200355400</t>
  </si>
  <si>
    <t>Slovácká – sídl. VO č. 11</t>
  </si>
  <si>
    <t>859182400200792526</t>
  </si>
  <si>
    <t>Semafor na T.G. Masaryka</t>
  </si>
  <si>
    <t>859182400200308321</t>
  </si>
  <si>
    <t>Mládežnická – VO č. 3</t>
  </si>
  <si>
    <t>859182400200256080</t>
  </si>
  <si>
    <t>Hlavní VO č. 50</t>
  </si>
  <si>
    <t>859182400210491822</t>
  </si>
  <si>
    <t>J. Opletala k 3101/87 – Za kasárnama VO č. 36</t>
  </si>
  <si>
    <t>859182400200293795</t>
  </si>
  <si>
    <t>Žižkova – pod vodojemem VO č. 40</t>
  </si>
  <si>
    <t>859182400200261374</t>
  </si>
  <si>
    <t>Havlíčkova – Polní VO č. 30</t>
  </si>
  <si>
    <t>859182400200315756</t>
  </si>
  <si>
    <t>Nám. Svobody – VO č. 9</t>
  </si>
  <si>
    <t>859182400200631023</t>
  </si>
  <si>
    <t>K. H. Máchy VO č. 56</t>
  </si>
  <si>
    <t>859182400200661341</t>
  </si>
  <si>
    <t>U Tržiště VO č. 49</t>
  </si>
  <si>
    <t>859182400200422522</t>
  </si>
  <si>
    <t>Lidická DM – VO č. 14</t>
  </si>
  <si>
    <t>859182400200256592</t>
  </si>
  <si>
    <t>Záhumní VO č. 31</t>
  </si>
  <si>
    <t>859182400200268717</t>
  </si>
  <si>
    <t>Tovární kolonie VO č. 38</t>
  </si>
  <si>
    <t>859182400210534390</t>
  </si>
  <si>
    <t>Nádražní 2235/89 VO č. 35</t>
  </si>
  <si>
    <t>859182400200308468</t>
  </si>
  <si>
    <t>Sady 28. října – pošta 2 VO č.5</t>
  </si>
  <si>
    <t>859182400211787818</t>
  </si>
  <si>
    <t>Habrová seč, K/2004/11 - veřejné osvětlení</t>
  </si>
  <si>
    <t>859182400200344947</t>
  </si>
  <si>
    <t>Fibichova – sídl. RD – VO č. 22A</t>
  </si>
  <si>
    <t>859182400210792622</t>
  </si>
  <si>
    <t>Bratislavská – k 3613/6 VO č. 57</t>
  </si>
  <si>
    <t>859182400200451225</t>
  </si>
  <si>
    <t>Sady 28. října - fontány</t>
  </si>
  <si>
    <t>859182400200352768</t>
  </si>
  <si>
    <t>Křižovatka T.G. Masaryka VO č. 59</t>
  </si>
  <si>
    <t>859182400200304460</t>
  </si>
  <si>
    <t>J. Palacha – pěší zóna VO č. 55</t>
  </si>
  <si>
    <t>859182400200425158</t>
  </si>
  <si>
    <t>Mánesova 40 – VO č. 47</t>
  </si>
  <si>
    <t>859182400200511042</t>
  </si>
  <si>
    <t>Domek v parku – Sady 28. října</t>
  </si>
  <si>
    <t>859182400200370021</t>
  </si>
  <si>
    <t>Světelná křižovatka 1. máje</t>
  </si>
  <si>
    <t>859182400200434198</t>
  </si>
  <si>
    <t>Široký dvůr VO č. 39</t>
  </si>
  <si>
    <t>859182400211041729</t>
  </si>
  <si>
    <t>M. Kapusty - Přečerpávací st. - K/1272/1</t>
  </si>
  <si>
    <t>859182400200451362</t>
  </si>
  <si>
    <t>Sady 28. října- fontána č.5</t>
  </si>
  <si>
    <t>859182400211110876</t>
  </si>
  <si>
    <t>Gen. Šimka K/1896 – kaplička</t>
  </si>
  <si>
    <t>859182400212022130</t>
  </si>
  <si>
    <t>Břeclav K/5721/1 - světelná signalizace , 69002 Břeclav</t>
  </si>
  <si>
    <t>859182400201473851</t>
  </si>
  <si>
    <t>Hraniční za tratí 001 - veřejné osvětlení</t>
  </si>
  <si>
    <t>859182400201473714</t>
  </si>
  <si>
    <t>Hraniční za tratí 002 - veřejné osvětlení</t>
  </si>
  <si>
    <t>859182400201473721</t>
  </si>
  <si>
    <t>Hraniční za tratí 003 - veřejné osvětlení</t>
  </si>
  <si>
    <t>859182400201473745</t>
  </si>
  <si>
    <t>Hraniční za tratí 004 - veřejné osvětlení</t>
  </si>
  <si>
    <t>859182400201473738</t>
  </si>
  <si>
    <t>Hraniční za tratí 005 - veřejné osvětlení</t>
  </si>
  <si>
    <t>859182400201473752</t>
  </si>
  <si>
    <t>Hraniční za tratí 006 - veřejné osvětlení</t>
  </si>
  <si>
    <t>SNP - Tyršův sad - VO 58 , 69081 Břeclav</t>
  </si>
  <si>
    <t>859182400200301193</t>
  </si>
  <si>
    <t>Stromořadní – Nová – VO č. 8A</t>
  </si>
  <si>
    <t>859182400212710709</t>
  </si>
  <si>
    <t>kamerový bod 2</t>
  </si>
  <si>
    <t>859182400212370842</t>
  </si>
  <si>
    <t>radar na Valtické</t>
  </si>
  <si>
    <t>859182400212328683</t>
  </si>
  <si>
    <t>Cyklověž</t>
  </si>
  <si>
    <t>859182400212395630</t>
  </si>
  <si>
    <t>Dětské dopravní hřiště - energie za budovu</t>
  </si>
  <si>
    <t>859182400210646055</t>
  </si>
  <si>
    <t>Siréna - hasičská zbrojnice SDH Poštorná</t>
  </si>
  <si>
    <t>859182400211745894</t>
  </si>
  <si>
    <t>kamera</t>
  </si>
  <si>
    <t>Spotřeba vody (m3/rok)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</si>
  <si>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</si>
  <si>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</si>
  <si>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</si>
  <si>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</si>
  <si>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</si>
  <si>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</si>
  <si>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</si>
  <si>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</si>
  <si>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</si>
  <si>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</si>
  <si>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</si>
  <si>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</si>
  <si>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Spotřeba tepla (GJ)</t>
  </si>
  <si>
    <t>Cena celkem za teplo za celý rok (Kč)</t>
  </si>
  <si>
    <t>Spotřeba zemního plynu (MWh)</t>
  </si>
  <si>
    <t>Cena celkem za ZP za celý rok (Kč)</t>
  </si>
  <si>
    <t>Spotřeba elektřiny (MWh)</t>
  </si>
  <si>
    <t>Cena celkem za EE za celý rok (Kč)</t>
  </si>
  <si>
    <t>Teplo</t>
  </si>
  <si>
    <t>Zemní plyn</t>
  </si>
  <si>
    <t>MWh</t>
  </si>
  <si>
    <t>Celkem</t>
  </si>
  <si>
    <t>%</t>
  </si>
  <si>
    <t>Energetický audit</t>
  </si>
  <si>
    <t>Již vypracován</t>
  </si>
  <si>
    <t>v roce</t>
  </si>
  <si>
    <t>ANO/NE</t>
  </si>
  <si>
    <t>-</t>
  </si>
  <si>
    <t>Typ( budovy, VO, kamery, ostatní)</t>
  </si>
  <si>
    <t>Účel využití budovy</t>
  </si>
  <si>
    <t>průměr za dva roky</t>
  </si>
  <si>
    <t>MWh/kg</t>
  </si>
  <si>
    <t>Ostatní energonositelé - napsat o který se jedná (např. dřevo/biomasa atp)</t>
  </si>
  <si>
    <t>PENB - průkaz energetické náročnosti budobuy</t>
  </si>
  <si>
    <t>projektová dokumentace stavební části (kompletnost, aktuálnost)</t>
  </si>
  <si>
    <t>projketová dokumentace systémů technických zařízení budov (kompletnost, aktuálnost)</t>
  </si>
  <si>
    <t>revizní zprávy</t>
  </si>
  <si>
    <t>zdroj tepla (kotelna, CZT,…)</t>
  </si>
  <si>
    <t>nucené větrání</t>
  </si>
  <si>
    <t>chlazení</t>
  </si>
  <si>
    <t>výrobní technologie</t>
  </si>
  <si>
    <t>zateplení</t>
  </si>
  <si>
    <t>Vlastnictví</t>
  </si>
  <si>
    <t>EAN El .en.</t>
  </si>
  <si>
    <t>Elektrická energie - data nejsou uceleny ani za celý rok</t>
  </si>
  <si>
    <t>Veřejná budova</t>
  </si>
  <si>
    <t>Škola</t>
  </si>
  <si>
    <t>Policie</t>
  </si>
  <si>
    <t>Knihovna</t>
  </si>
  <si>
    <t>VO</t>
  </si>
  <si>
    <t>Kamera</t>
  </si>
  <si>
    <t>Semafor</t>
  </si>
  <si>
    <t>Fontána</t>
  </si>
  <si>
    <t>Přečerpávací stanice</t>
  </si>
  <si>
    <t>Kaplička</t>
  </si>
  <si>
    <t>radar</t>
  </si>
  <si>
    <t>Siréna</t>
  </si>
  <si>
    <t>Dopravní hřiště</t>
  </si>
  <si>
    <t>Domov Seniorů</t>
  </si>
  <si>
    <t>Krytý bazén</t>
  </si>
  <si>
    <t>Muzeum</t>
  </si>
  <si>
    <t>Volnočasové aktivity</t>
  </si>
  <si>
    <t>Městký úřad, pronajaté kanceláře</t>
  </si>
  <si>
    <t>ANO, stavební povolení 1Q/2022, celková rekonstrukce</t>
  </si>
  <si>
    <t>ANO, VZT a Osvětlení s el. instalací</t>
  </si>
  <si>
    <t>NE</t>
  </si>
  <si>
    <t>ANO, chlazení</t>
  </si>
  <si>
    <t>Kotelna v majetku CZT</t>
  </si>
  <si>
    <t>CZT</t>
  </si>
  <si>
    <t>ANO</t>
  </si>
  <si>
    <t>ANO, plánované</t>
  </si>
  <si>
    <t>NE, plánované</t>
  </si>
  <si>
    <t>ANO, kompresory pro výrobu chladu</t>
  </si>
  <si>
    <t xml:space="preserve">Cena celkem za teplo za celý rok </t>
  </si>
  <si>
    <t>Subjekt</t>
  </si>
  <si>
    <t>Statutár</t>
  </si>
  <si>
    <t>Odběrné místo</t>
  </si>
  <si>
    <t>Smluvní vztah</t>
  </si>
  <si>
    <t>Korespondenční adresa</t>
  </si>
  <si>
    <t>Předpokládaná roční spotřeba</t>
  </si>
  <si>
    <t>Název odběratele</t>
  </si>
  <si>
    <t>IČ</t>
  </si>
  <si>
    <t>DIČ</t>
  </si>
  <si>
    <t>Ulice</t>
  </si>
  <si>
    <t>Č.p.</t>
  </si>
  <si>
    <t>Č.o.</t>
  </si>
  <si>
    <t>Město</t>
  </si>
  <si>
    <t>PSČ</t>
  </si>
  <si>
    <t>Jméno</t>
  </si>
  <si>
    <t>Příjmení</t>
  </si>
  <si>
    <t>Funkce</t>
  </si>
  <si>
    <t>E-mail</t>
  </si>
  <si>
    <t>název OM</t>
  </si>
  <si>
    <t>Distributor</t>
  </si>
  <si>
    <t>Distribuční sazba</t>
  </si>
  <si>
    <t>Typ jističe</t>
  </si>
  <si>
    <t>Velikost jističe (A)</t>
  </si>
  <si>
    <t>dodavatel</t>
  </si>
  <si>
    <t>smlouva od</t>
  </si>
  <si>
    <t>smlouva do</t>
  </si>
  <si>
    <t>Název</t>
  </si>
  <si>
    <t>Celkem VT (MWh)</t>
  </si>
  <si>
    <t>Celkem NT (MWh)</t>
  </si>
  <si>
    <t>Celkem (MWh)</t>
  </si>
  <si>
    <t>Město Břeclav</t>
  </si>
  <si>
    <t>00283061</t>
  </si>
  <si>
    <t>CZ00283061</t>
  </si>
  <si>
    <t>nám. T. G. Masaryka</t>
  </si>
  <si>
    <t>Břeclav</t>
  </si>
  <si>
    <t>Bc. Svatopluk</t>
  </si>
  <si>
    <t>Pěček</t>
  </si>
  <si>
    <t>starosta</t>
  </si>
  <si>
    <t>starosta@breclav.eu</t>
  </si>
  <si>
    <t>Husova</t>
  </si>
  <si>
    <t>K/191</t>
  </si>
  <si>
    <t>E.ON Distribuce, a.s.</t>
  </si>
  <si>
    <t>C 01d</t>
  </si>
  <si>
    <t>jednofázový</t>
  </si>
  <si>
    <t>Kupkova 382/3</t>
  </si>
  <si>
    <t>třída 1. máje</t>
  </si>
  <si>
    <t>K/3681</t>
  </si>
  <si>
    <t>Svodinova</t>
  </si>
  <si>
    <t>K/181</t>
  </si>
  <si>
    <t>sady 28. října K/593/1, 69002 Břeclav</t>
  </si>
  <si>
    <t>sady 28. října</t>
  </si>
  <si>
    <t>K/593</t>
  </si>
  <si>
    <t>Na Valtické K/2103/1/D, 69141 Břeclav</t>
  </si>
  <si>
    <t>Na Valtické</t>
  </si>
  <si>
    <t>K/2103</t>
  </si>
  <si>
    <t>1/D</t>
  </si>
  <si>
    <t>Lidická 3411/33b, 69003 Břeclav</t>
  </si>
  <si>
    <t>Lidická</t>
  </si>
  <si>
    <t>33b</t>
  </si>
  <si>
    <t>Národních hrdinů K/3726/2, 69002 Břeclav</t>
  </si>
  <si>
    <t>Národních hrdinů</t>
  </si>
  <si>
    <t>K/3726</t>
  </si>
  <si>
    <t>Na Valtické K/2103/1/C, 69141 Břeclav</t>
  </si>
  <si>
    <t>1/C</t>
  </si>
  <si>
    <t>Na Valtické K/2181/1/A, 69141 Břeclav</t>
  </si>
  <si>
    <t>K/2181</t>
  </si>
  <si>
    <t>1/A</t>
  </si>
  <si>
    <t>Na Valtické K/2181/6, 69141 Břeclav</t>
  </si>
  <si>
    <t>Kupkova 3</t>
  </si>
  <si>
    <t>Kupkova</t>
  </si>
  <si>
    <t>859182400200348990</t>
  </si>
  <si>
    <t>C 02d</t>
  </si>
  <si>
    <t>třífázový</t>
  </si>
  <si>
    <t xml:space="preserve">Bc. Svatopluk </t>
  </si>
  <si>
    <t>Osvobození</t>
  </si>
  <si>
    <t>Břeclav - Poštorná</t>
  </si>
  <si>
    <t>Kupkova 382/4</t>
  </si>
  <si>
    <t>Valtická K/2181/6</t>
  </si>
  <si>
    <t>Kupkova 382/5</t>
  </si>
  <si>
    <t>859182400212904573</t>
  </si>
  <si>
    <t>C 46d</t>
  </si>
  <si>
    <t>třifázový</t>
  </si>
  <si>
    <t>Kupkova 382/6</t>
  </si>
  <si>
    <t>Přednádraží K/593/1</t>
  </si>
  <si>
    <t>Kupkova 382/7</t>
  </si>
  <si>
    <t>K/5721/1</t>
  </si>
  <si>
    <t>Kupkova 382/8</t>
  </si>
  <si>
    <t>SNP – Tyršův sad VO č. 58</t>
  </si>
  <si>
    <t>C 62d</t>
  </si>
  <si>
    <t>T.G.Masaryka 3</t>
  </si>
  <si>
    <t>nám. T.G.M. 42/3, sklad</t>
  </si>
  <si>
    <t>náměstí T. G. Masaryka</t>
  </si>
  <si>
    <t>859182400200352461</t>
  </si>
  <si>
    <t>C 45d</t>
  </si>
  <si>
    <t>OKT</t>
  </si>
  <si>
    <t>nám. T.G.M. 42/3, hl. budova</t>
  </si>
  <si>
    <t>859182400200350993</t>
  </si>
  <si>
    <t>C 26d</t>
  </si>
  <si>
    <t>nám. T.G.M. 42/3, přístavba</t>
  </si>
  <si>
    <t>859182400200352751</t>
  </si>
  <si>
    <t>U Stadionu, OSVD</t>
  </si>
  <si>
    <t>U Stadionu (OSVD)</t>
  </si>
  <si>
    <t>C 25d</t>
  </si>
  <si>
    <t>28. října</t>
  </si>
  <si>
    <t>M. Kapusty - Přečerpávací st. -</t>
  </si>
  <si>
    <t>K/1272</t>
  </si>
  <si>
    <t>Hraniční za tratí 001</t>
  </si>
  <si>
    <t>Hraniční za tratí 002</t>
  </si>
  <si>
    <t>Hraniční za tratí 003</t>
  </si>
  <si>
    <t>Hraniční za tratí 004</t>
  </si>
  <si>
    <t>Hraniční za tratí 005</t>
  </si>
  <si>
    <t>Hraniční za tratí 006</t>
  </si>
  <si>
    <t>T.G. Masaryka</t>
  </si>
  <si>
    <t>1. máje</t>
  </si>
  <si>
    <t>Sady 28. října</t>
  </si>
  <si>
    <t>Habrová seč, K/2004/11</t>
  </si>
  <si>
    <t>Slovácká</t>
  </si>
  <si>
    <t>K/3729</t>
  </si>
  <si>
    <t>SNP - Tyršův sad - VO 58</t>
  </si>
  <si>
    <t>Břeclav K/5721/1 - světelná signalizace</t>
  </si>
  <si>
    <t>Národního odboje</t>
  </si>
  <si>
    <t>Sady 28. října - A3</t>
  </si>
  <si>
    <t>A</t>
  </si>
  <si>
    <t>Sady 28. října - A1</t>
  </si>
  <si>
    <t>x</t>
  </si>
  <si>
    <t>Sady 28. října 2 - sklad</t>
  </si>
  <si>
    <t>Hřbitovní</t>
  </si>
  <si>
    <t>Rovnice</t>
  </si>
  <si>
    <t>Lednická</t>
  </si>
  <si>
    <t>hala nebytové prostory</t>
  </si>
  <si>
    <t>Veřejné WC Kufnerovo nábřeží</t>
  </si>
  <si>
    <t>U Stadionu</t>
  </si>
  <si>
    <t>17.listopadu 2995/1A</t>
  </si>
  <si>
    <t>17. listopadu</t>
  </si>
  <si>
    <t>1A</t>
  </si>
  <si>
    <t>nám.TGM 38/10 - bývalý MÚ</t>
  </si>
  <si>
    <t>Hájová</t>
  </si>
  <si>
    <t>Lanžhotská</t>
  </si>
  <si>
    <t>Bratislavská</t>
  </si>
  <si>
    <t>Krátká</t>
  </si>
  <si>
    <t>Na Zahradách</t>
  </si>
  <si>
    <t>Riegrova</t>
  </si>
  <si>
    <t>smuteční obřadní síň</t>
  </si>
  <si>
    <t>stará smuteční obřadní síň - nová smuteční obřadní síň - budova s č. p. 3581, která je součástí pozemku p. č. st. 2154 v k. ú. Břeclav, adresní místo Břeclav, Lanžhotská 3581/66a - má EAN: 859182400212233444 - je příhlášená na E.ON - asi po výstavbě se to příhlásilo a starý elektroměr se zrušil, ale v této evidenci to zůstalo - toto nové přefakturováme p. Kelemenové</t>
  </si>
  <si>
    <t>Tř. 1. Máje</t>
  </si>
  <si>
    <t>U Splavu</t>
  </si>
  <si>
    <t>2B</t>
  </si>
  <si>
    <t>Chodská</t>
  </si>
  <si>
    <t>Národních hrdinů - tržnice  na p.č.st.529/53</t>
  </si>
  <si>
    <t>bez č.p.</t>
  </si>
  <si>
    <t>toto je omylem vedeno jako Tržnice č. I, nicměně se jedná o budovu s č.p. 3499, která je součástí pozemku p.č.st. 529/57 v k. ú. Břeclav, s adresním místem  Národních hrdinů 3499/14a, kterou jsme v lednu roku 2019 prodali Jiřímu Bábíčkovi, elektrika je nyní napsaná na něj, ale opět z tohoto seznamu to nikdo nevymazal</t>
  </si>
  <si>
    <t>K.H.Máchy 3215/24, 69002 Břeclav</t>
  </si>
  <si>
    <t>K.H.Máchy</t>
  </si>
  <si>
    <t>bytový dům</t>
  </si>
  <si>
    <t>bytový dům spravuje na základě smlouvy o správě domů Bytové družstvo Byt 2000, družstvo - to má na sebe napsanou i elektriku</t>
  </si>
  <si>
    <t>Ostrov</t>
  </si>
  <si>
    <t>C 03d</t>
  </si>
  <si>
    <t>U Tržiště 2085/1</t>
  </si>
  <si>
    <t>U Tržiště</t>
  </si>
  <si>
    <t>859182400200371066</t>
  </si>
  <si>
    <t>kino</t>
  </si>
  <si>
    <t xml:space="preserve">Kino má na základě smlouvy o pachtu podniku v užívání Ing. Luděk Kabelka, IČO: 41533437, se sídlem Břeclav, U Tržiště 2085/1 - má na sebe napsanou i elektriku
</t>
  </si>
  <si>
    <t>859182400200371219</t>
  </si>
  <si>
    <t>859182400200371325</t>
  </si>
  <si>
    <t xml:space="preserve"> celkem  (GJ)</t>
  </si>
  <si>
    <t>Celkem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</si>
</sst>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"/>
    <numFmt numFmtId="165" formatCode="[$-10405]#,##0.000;\-#,##0.000"/>
    <numFmt numFmtId="166" formatCode="0.0%"/>
    <numFmt numFmtId="167" formatCode="0.0"/>
    <numFmt numFmtId="168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u val="single"/>
      <sz val="8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23"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2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4" fontId="4" fillId="0" borderId="0" xfId="0" applyNumberFormat="1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0" xfId="0" applyNumberFormat="1" applyFont="1"/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164" fontId="4" fillId="0" borderId="17" xfId="0" applyNumberFormat="1" applyFont="1" applyBorder="1" applyAlignment="1">
      <alignment horizontal="center" vertical="center"/>
    </xf>
    <xf numFmtId="1" fontId="2" fillId="3" borderId="18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left" vertical="center"/>
    </xf>
    <xf numFmtId="164" fontId="4" fillId="0" borderId="2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wrapText="1"/>
    </xf>
    <xf numFmtId="0" fontId="4" fillId="0" borderId="19" xfId="0" applyFont="1" applyBorder="1"/>
    <xf numFmtId="4" fontId="4" fillId="0" borderId="2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4" fontId="4" fillId="0" borderId="22" xfId="0" applyNumberFormat="1" applyFont="1" applyBorder="1" applyAlignment="1">
      <alignment horizontal="center"/>
    </xf>
    <xf numFmtId="0" fontId="7" fillId="0" borderId="0" xfId="0" applyFont="1"/>
    <xf numFmtId="0" fontId="4" fillId="4" borderId="19" xfId="0" applyFont="1" applyFill="1" applyBorder="1" applyAlignment="1">
      <alignment wrapText="1"/>
    </xf>
    <xf numFmtId="0" fontId="4" fillId="4" borderId="19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164" fontId="4" fillId="0" borderId="19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0" fontId="0" fillId="0" borderId="19" xfId="0" applyBorder="1"/>
    <xf numFmtId="0" fontId="4" fillId="0" borderId="26" xfId="0" applyFont="1" applyBorder="1" applyAlignment="1">
      <alignment horizontal="left" vertical="center"/>
    </xf>
    <xf numFmtId="0" fontId="0" fillId="0" borderId="14" xfId="0" applyBorder="1"/>
    <xf numFmtId="0" fontId="10" fillId="5" borderId="11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5" xfId="0" applyBorder="1"/>
    <xf numFmtId="0" fontId="0" fillId="0" borderId="18" xfId="0" applyBorder="1"/>
    <xf numFmtId="0" fontId="0" fillId="0" borderId="2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27" xfId="0" applyFont="1" applyBorder="1" applyAlignment="1">
      <alignment horizontal="left" vertical="center"/>
    </xf>
    <xf numFmtId="0" fontId="4" fillId="0" borderId="27" xfId="0" applyFont="1" applyBorder="1"/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6" borderId="30" xfId="0" applyFont="1" applyFill="1" applyBorder="1" applyAlignment="1">
      <alignment horizontal="left" vertical="center"/>
    </xf>
    <xf numFmtId="0" fontId="4" fillId="6" borderId="26" xfId="0" applyFont="1" applyFill="1" applyBorder="1" applyAlignment="1">
      <alignment horizontal="left" vertical="center"/>
    </xf>
    <xf numFmtId="0" fontId="4" fillId="6" borderId="26" xfId="0" applyFont="1" applyFill="1" applyBorder="1" applyAlignment="1">
      <alignment wrapText="1"/>
    </xf>
    <xf numFmtId="0" fontId="4" fillId="6" borderId="26" xfId="0" applyFont="1" applyFill="1" applyBorder="1"/>
    <xf numFmtId="0" fontId="4" fillId="6" borderId="26" xfId="0" applyFont="1" applyFill="1" applyBorder="1" applyAlignment="1">
      <alignment vertical="center"/>
    </xf>
    <xf numFmtId="0" fontId="4" fillId="7" borderId="31" xfId="0" applyFont="1" applyFill="1" applyBorder="1" applyAlignment="1">
      <alignment horizontal="left" vertical="center"/>
    </xf>
    <xf numFmtId="0" fontId="4" fillId="7" borderId="27" xfId="0" applyFont="1" applyFill="1" applyBorder="1" applyAlignment="1">
      <alignment horizontal="left" vertical="center"/>
    </xf>
    <xf numFmtId="0" fontId="4" fillId="7" borderId="27" xfId="0" applyFont="1" applyFill="1" applyBorder="1"/>
    <xf numFmtId="0" fontId="4" fillId="6" borderId="31" xfId="0" applyFont="1" applyFill="1" applyBorder="1" applyAlignment="1">
      <alignment horizontal="left" vertical="center"/>
    </xf>
    <xf numFmtId="0" fontId="4" fillId="6" borderId="27" xfId="0" applyFont="1" applyFill="1" applyBorder="1" applyAlignment="1">
      <alignment horizontal="left" vertical="center"/>
    </xf>
    <xf numFmtId="0" fontId="4" fillId="6" borderId="27" xfId="0" applyFont="1" applyFill="1" applyBorder="1"/>
    <xf numFmtId="0" fontId="4" fillId="6" borderId="26" xfId="0" applyFont="1" applyFill="1" applyBorder="1" applyAlignment="1">
      <alignment horizontal="left" vertical="center" wrapText="1"/>
    </xf>
    <xf numFmtId="0" fontId="4" fillId="7" borderId="30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wrapText="1"/>
    </xf>
    <xf numFmtId="0" fontId="4" fillId="7" borderId="26" xfId="0" applyFont="1" applyFill="1" applyBorder="1" applyAlignment="1">
      <alignment vertical="center"/>
    </xf>
    <xf numFmtId="0" fontId="4" fillId="7" borderId="26" xfId="0" applyFont="1" applyFill="1" applyBorder="1"/>
    <xf numFmtId="0" fontId="4" fillId="0" borderId="26" xfId="0" applyFont="1" applyBorder="1"/>
    <xf numFmtId="0" fontId="4" fillId="4" borderId="26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vertical="center"/>
    </xf>
    <xf numFmtId="0" fontId="4" fillId="4" borderId="29" xfId="0" applyFont="1" applyFill="1" applyBorder="1" applyAlignment="1">
      <alignment horizontal="left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0" fillId="0" borderId="17" xfId="0" applyBorder="1"/>
    <xf numFmtId="165" fontId="13" fillId="0" borderId="34" xfId="0" applyNumberFormat="1" applyFont="1" applyBorder="1" applyAlignment="1">
      <alignment horizontal="right" vertical="top" wrapText="1" readingOrder="1"/>
    </xf>
    <xf numFmtId="165" fontId="13" fillId="0" borderId="35" xfId="0" applyNumberFormat="1" applyFont="1" applyBorder="1" applyAlignment="1">
      <alignment horizontal="right" vertical="top" wrapText="1" readingOrder="1"/>
    </xf>
    <xf numFmtId="0" fontId="0" fillId="0" borderId="35" xfId="0" applyBorder="1"/>
    <xf numFmtId="0" fontId="0" fillId="0" borderId="22" xfId="0" applyBorder="1"/>
    <xf numFmtId="0" fontId="4" fillId="0" borderId="26" xfId="0" applyFont="1" applyBorder="1" applyAlignment="1">
      <alignment wrapText="1"/>
    </xf>
    <xf numFmtId="0" fontId="0" fillId="0" borderId="25" xfId="0" applyBorder="1"/>
    <xf numFmtId="0" fontId="0" fillId="0" borderId="36" xfId="0" applyBorder="1"/>
    <xf numFmtId="165" fontId="0" fillId="0" borderId="37" xfId="0" applyNumberFormat="1" applyBorder="1"/>
    <xf numFmtId="165" fontId="0" fillId="0" borderId="26" xfId="0" applyNumberFormat="1" applyBorder="1"/>
    <xf numFmtId="165" fontId="0" fillId="0" borderId="29" xfId="0" applyNumberFormat="1" applyBorder="1"/>
    <xf numFmtId="166" fontId="0" fillId="0" borderId="38" xfId="21" applyNumberFormat="1" applyFont="1" applyBorder="1"/>
    <xf numFmtId="0" fontId="6" fillId="0" borderId="39" xfId="0" applyFont="1" applyBorder="1" applyAlignment="1">
      <alignment horizontal="left" vertical="center"/>
    </xf>
    <xf numFmtId="0" fontId="10" fillId="0" borderId="4" xfId="0" applyFont="1" applyBorder="1"/>
    <xf numFmtId="43" fontId="10" fillId="0" borderId="4" xfId="20" applyFont="1" applyBorder="1"/>
    <xf numFmtId="0" fontId="10" fillId="0" borderId="5" xfId="0" applyFont="1" applyBorder="1"/>
    <xf numFmtId="4" fontId="0" fillId="0" borderId="26" xfId="0" applyNumberFormat="1" applyBorder="1"/>
    <xf numFmtId="0" fontId="0" fillId="5" borderId="37" xfId="0" applyFill="1" applyBorder="1"/>
    <xf numFmtId="0" fontId="0" fillId="5" borderId="40" xfId="0" applyFill="1" applyBorder="1"/>
    <xf numFmtId="0" fontId="0" fillId="5" borderId="26" xfId="0" applyFill="1" applyBorder="1"/>
    <xf numFmtId="0" fontId="0" fillId="5" borderId="38" xfId="0" applyFill="1" applyBorder="1"/>
    <xf numFmtId="0" fontId="0" fillId="5" borderId="18" xfId="0" applyFill="1" applyBorder="1"/>
    <xf numFmtId="0" fontId="0" fillId="5" borderId="20" xfId="0" applyFill="1" applyBorder="1"/>
    <xf numFmtId="0" fontId="0" fillId="5" borderId="29" xfId="0" applyFill="1" applyBorder="1"/>
    <xf numFmtId="0" fontId="0" fillId="5" borderId="41" xfId="0" applyFill="1" applyBorder="1"/>
    <xf numFmtId="0" fontId="0" fillId="5" borderId="10" xfId="0" applyFill="1" applyBorder="1"/>
    <xf numFmtId="0" fontId="0" fillId="5" borderId="12" xfId="0" applyFill="1" applyBorder="1"/>
    <xf numFmtId="0" fontId="0" fillId="5" borderId="37" xfId="0" applyFill="1" applyBorder="1" applyAlignment="1">
      <alignment wrapText="1"/>
    </xf>
    <xf numFmtId="4" fontId="0" fillId="0" borderId="26" xfId="0" applyNumberFormat="1" applyBorder="1" applyAlignment="1">
      <alignment wrapText="1"/>
    </xf>
    <xf numFmtId="0" fontId="4" fillId="0" borderId="42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0" fillId="0" borderId="32" xfId="0" applyBorder="1"/>
    <xf numFmtId="0" fontId="0" fillId="0" borderId="33" xfId="0" applyBorder="1"/>
    <xf numFmtId="0" fontId="0" fillId="0" borderId="43" xfId="0" applyBorder="1"/>
    <xf numFmtId="0" fontId="0" fillId="0" borderId="34" xfId="0" applyBorder="1"/>
    <xf numFmtId="0" fontId="0" fillId="0" borderId="44" xfId="0" applyBorder="1"/>
    <xf numFmtId="4" fontId="12" fillId="0" borderId="26" xfId="0" applyNumberFormat="1" applyFont="1" applyBorder="1"/>
    <xf numFmtId="0" fontId="12" fillId="5" borderId="37" xfId="0" applyFont="1" applyFill="1" applyBorder="1" applyAlignment="1">
      <alignment wrapText="1"/>
    </xf>
    <xf numFmtId="0" fontId="0" fillId="8" borderId="20" xfId="0" applyFill="1" applyBorder="1"/>
    <xf numFmtId="3" fontId="15" fillId="0" borderId="0" xfId="0" applyNumberFormat="1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167" fontId="11" fillId="0" borderId="19" xfId="0" applyNumberFormat="1" applyFont="1" applyBorder="1" applyAlignment="1">
      <alignment horizontal="center"/>
    </xf>
    <xf numFmtId="168" fontId="11" fillId="0" borderId="19" xfId="0" applyNumberFormat="1" applyFont="1" applyBorder="1" applyAlignment="1">
      <alignment horizontal="center"/>
    </xf>
    <xf numFmtId="168" fontId="15" fillId="0" borderId="19" xfId="0" applyNumberFormat="1" applyFont="1" applyBorder="1" applyAlignment="1">
      <alignment horizontal="center"/>
    </xf>
    <xf numFmtId="0" fontId="17" fillId="0" borderId="19" xfId="22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49" fontId="11" fillId="4" borderId="19" xfId="0" applyNumberFormat="1" applyFont="1" applyFill="1" applyBorder="1" applyAlignment="1">
      <alignment horizontal="center"/>
    </xf>
    <xf numFmtId="167" fontId="11" fillId="4" borderId="19" xfId="0" applyNumberFormat="1" applyFont="1" applyFill="1" applyBorder="1" applyAlignment="1">
      <alignment horizontal="center"/>
    </xf>
    <xf numFmtId="168" fontId="11" fillId="4" borderId="19" xfId="0" applyNumberFormat="1" applyFont="1" applyFill="1" applyBorder="1" applyAlignment="1">
      <alignment horizontal="center"/>
    </xf>
    <xf numFmtId="0" fontId="0" fillId="8" borderId="0" xfId="0" applyFill="1" applyAlignment="1">
      <alignment wrapText="1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4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44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5" borderId="34" xfId="0" applyFill="1" applyBorder="1" applyAlignment="1">
      <alignment horizontal="center" wrapText="1"/>
    </xf>
    <xf numFmtId="0" fontId="0" fillId="5" borderId="44" xfId="0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  <cellStyle name="Hypertextový odkaz" xfId="22"/>
  </cellStyles>
  <dxfs count="4">
    <dxf>
      <fill>
        <patternFill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arosta@breclav.eu" TargetMode="External" /><Relationship Id="rId2" Type="http://schemas.openxmlformats.org/officeDocument/2006/relationships/hyperlink" Target="mailto:starosta@breclav.eu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0769F-F6A1-4D7A-9650-83A910344583}">
  <dimension ref="B1:AI192"/>
  <sheetViews>
    <sheetView workbookViewId="0" topLeftCell="C1">
      <selection activeCell="D35" sqref="D35"/>
    </sheetView>
  </sheetViews>
  <sheetFormatPr defaultColWidth="8.8515625" defaultRowHeight="15"/>
  <cols>
    <col min="1" max="1" width="2.7109375" style="1" hidden="1" customWidth="1"/>
    <col min="2" max="2" width="10.28125" style="1" hidden="1" customWidth="1"/>
    <col min="3" max="3" width="19.7109375" style="68" customWidth="1"/>
    <col min="4" max="4" width="26.7109375" style="3" customWidth="1"/>
    <col min="5" max="5" width="26.28125" style="3" customWidth="1"/>
    <col min="6" max="6" width="15.7109375" style="4" customWidth="1"/>
    <col min="7" max="7" width="9.28125" style="5" customWidth="1"/>
    <col min="8" max="8" width="8.8515625" style="1" customWidth="1"/>
    <col min="9" max="9" width="17.421875" style="1" customWidth="1"/>
    <col min="10" max="10" width="8.8515625" style="1" customWidth="1"/>
    <col min="11" max="11" width="11.7109375" style="1" customWidth="1"/>
    <col min="12" max="31" width="8.8515625" style="1" customWidth="1"/>
    <col min="32" max="33" width="11.28125" style="5" customWidth="1"/>
    <col min="34" max="34" width="8.8515625" style="1" customWidth="1"/>
    <col min="35" max="35" width="10.421875" style="1" customWidth="1"/>
    <col min="36" max="16384" width="8.8515625" style="1" customWidth="1"/>
  </cols>
  <sheetData>
    <row r="1" ht="15.6">
      <c r="C1" s="2" t="s">
        <v>0</v>
      </c>
    </row>
    <row r="2" spans="3:5" ht="30.6" customHeight="1">
      <c r="C2" s="174" t="s">
        <v>1</v>
      </c>
      <c r="D2" s="174"/>
      <c r="E2" s="174"/>
    </row>
    <row r="3" spans="3:5" ht="23.4" customHeight="1">
      <c r="C3" s="175" t="s">
        <v>2</v>
      </c>
      <c r="D3" s="175"/>
      <c r="E3" s="175"/>
    </row>
    <row r="4" spans="3:5" ht="12.6" thickBot="1">
      <c r="C4" s="176"/>
      <c r="D4" s="176"/>
      <c r="E4" s="176"/>
    </row>
    <row r="5" spans="3:33" s="6" customFormat="1" ht="12.6" thickBot="1">
      <c r="C5" s="7"/>
      <c r="D5" s="8"/>
      <c r="E5" s="8"/>
      <c r="F5" s="9"/>
      <c r="G5" s="10"/>
      <c r="H5" s="172" t="s">
        <v>3</v>
      </c>
      <c r="I5" s="172"/>
      <c r="J5" s="172"/>
      <c r="K5" s="173"/>
      <c r="L5" s="11"/>
      <c r="M5" s="172" t="s">
        <v>4</v>
      </c>
      <c r="N5" s="172"/>
      <c r="O5" s="172"/>
      <c r="P5" s="172"/>
      <c r="Q5" s="10"/>
      <c r="R5" s="172" t="s">
        <v>5</v>
      </c>
      <c r="S5" s="172"/>
      <c r="T5" s="172"/>
      <c r="U5" s="173"/>
      <c r="V5" s="11"/>
      <c r="W5" s="172" t="s">
        <v>6</v>
      </c>
      <c r="X5" s="172"/>
      <c r="Y5" s="172"/>
      <c r="Z5" s="172"/>
      <c r="AA5" s="10"/>
      <c r="AB5" s="172" t="s">
        <v>402</v>
      </c>
      <c r="AC5" s="172"/>
      <c r="AD5" s="172"/>
      <c r="AE5" s="173"/>
      <c r="AF5" s="11"/>
      <c r="AG5" s="12"/>
    </row>
    <row r="6" spans="2:33" s="22" customFormat="1" ht="48.6" thickBot="1">
      <c r="B6" s="13"/>
      <c r="C6" s="7" t="s">
        <v>7</v>
      </c>
      <c r="D6" s="14" t="s">
        <v>8</v>
      </c>
      <c r="E6" s="14" t="s">
        <v>9</v>
      </c>
      <c r="F6" s="15" t="s">
        <v>10</v>
      </c>
      <c r="G6" s="16" t="s">
        <v>11</v>
      </c>
      <c r="H6" s="17">
        <v>2018</v>
      </c>
      <c r="I6" s="17">
        <v>2019</v>
      </c>
      <c r="J6" s="17">
        <v>2020</v>
      </c>
      <c r="K6" s="18" t="s">
        <v>12</v>
      </c>
      <c r="L6" s="19" t="s">
        <v>13</v>
      </c>
      <c r="M6" s="20">
        <v>2018</v>
      </c>
      <c r="N6" s="20">
        <v>2019</v>
      </c>
      <c r="O6" s="20">
        <v>2020</v>
      </c>
      <c r="P6" s="20" t="s">
        <v>12</v>
      </c>
      <c r="Q6" s="19" t="s">
        <v>13</v>
      </c>
      <c r="R6" s="20">
        <v>2018</v>
      </c>
      <c r="S6" s="20">
        <v>2019</v>
      </c>
      <c r="T6" s="20">
        <v>2020</v>
      </c>
      <c r="U6" s="21" t="s">
        <v>12</v>
      </c>
      <c r="V6" s="20" t="s">
        <v>13</v>
      </c>
      <c r="W6" s="20">
        <v>2018</v>
      </c>
      <c r="X6" s="20">
        <v>2019</v>
      </c>
      <c r="Y6" s="20">
        <v>2020</v>
      </c>
      <c r="Z6" s="20" t="s">
        <v>12</v>
      </c>
      <c r="AA6" s="19" t="s">
        <v>13</v>
      </c>
      <c r="AB6" s="20">
        <v>2018</v>
      </c>
      <c r="AC6" s="20">
        <v>2019</v>
      </c>
      <c r="AD6" s="20">
        <v>2020</v>
      </c>
      <c r="AE6" s="20" t="s">
        <v>12</v>
      </c>
      <c r="AF6" s="19" t="s">
        <v>14</v>
      </c>
      <c r="AG6" s="21" t="s">
        <v>15</v>
      </c>
    </row>
    <row r="7" spans="2:35" ht="12.6" thickBot="1">
      <c r="B7" s="3" t="s">
        <v>16</v>
      </c>
      <c r="C7" s="23" t="s">
        <v>17</v>
      </c>
      <c r="D7" s="24" t="s">
        <v>18</v>
      </c>
      <c r="E7" s="24" t="s">
        <v>19</v>
      </c>
      <c r="F7" s="25">
        <v>683.7</v>
      </c>
      <c r="G7" s="26">
        <v>1</v>
      </c>
      <c r="H7" s="27">
        <v>569.989</v>
      </c>
      <c r="I7" s="27">
        <v>636.413</v>
      </c>
      <c r="J7" s="27"/>
      <c r="K7" s="28"/>
      <c r="L7" s="29"/>
      <c r="M7" s="27"/>
      <c r="N7" s="27"/>
      <c r="O7" s="27"/>
      <c r="P7" s="30"/>
      <c r="Q7" s="31"/>
      <c r="R7" s="27">
        <v>3444.069</v>
      </c>
      <c r="S7" s="27">
        <v>3674.644</v>
      </c>
      <c r="T7" s="27"/>
      <c r="U7" s="28"/>
      <c r="V7" s="29"/>
      <c r="W7" s="27"/>
      <c r="X7" s="27"/>
      <c r="Y7" s="27"/>
      <c r="Z7" s="30"/>
      <c r="AA7" s="31"/>
      <c r="AB7" s="27">
        <v>4417</v>
      </c>
      <c r="AC7" s="27">
        <v>5078.998</v>
      </c>
      <c r="AD7" s="27"/>
      <c r="AE7" s="30"/>
      <c r="AF7" s="32">
        <v>1900</v>
      </c>
      <c r="AG7" s="33">
        <v>7270</v>
      </c>
      <c r="AI7" s="34"/>
    </row>
    <row r="8" spans="3:35" ht="53.4" customHeight="1">
      <c r="C8" s="35" t="s">
        <v>20</v>
      </c>
      <c r="D8" s="36" t="s">
        <v>21</v>
      </c>
      <c r="E8" s="36" t="s">
        <v>22</v>
      </c>
      <c r="F8" s="37">
        <f>6.973+291.304+6.457589+61.187</f>
        <v>365.921589</v>
      </c>
      <c r="G8" s="38">
        <v>4</v>
      </c>
      <c r="H8" s="39">
        <f>291.303+7.092+4.17</f>
        <v>302.565</v>
      </c>
      <c r="I8" s="39"/>
      <c r="J8" s="39"/>
      <c r="K8" s="40"/>
      <c r="L8" s="41"/>
      <c r="M8" s="39"/>
      <c r="N8" s="39"/>
      <c r="O8" s="39"/>
      <c r="P8" s="42"/>
      <c r="Q8" s="43"/>
      <c r="R8" s="39">
        <v>770.505</v>
      </c>
      <c r="S8" s="39"/>
      <c r="T8" s="39"/>
      <c r="U8" s="40"/>
      <c r="V8" s="41"/>
      <c r="W8" s="39">
        <v>94.999</v>
      </c>
      <c r="X8" s="39"/>
      <c r="Y8" s="39"/>
      <c r="Z8" s="42"/>
      <c r="AA8" s="43"/>
      <c r="AB8" s="39"/>
      <c r="AC8" s="39"/>
      <c r="AD8" s="39"/>
      <c r="AE8" s="42"/>
      <c r="AF8" s="44">
        <f>150+460</f>
        <v>610</v>
      </c>
      <c r="AG8" s="45">
        <v>1390</v>
      </c>
      <c r="AI8" s="35"/>
    </row>
    <row r="9" spans="2:35" ht="15">
      <c r="B9" s="1" t="s">
        <v>23</v>
      </c>
      <c r="C9" s="46" t="s">
        <v>24</v>
      </c>
      <c r="D9" s="47" t="s">
        <v>25</v>
      </c>
      <c r="E9" s="48" t="s">
        <v>26</v>
      </c>
      <c r="F9" s="49">
        <v>326.9</v>
      </c>
      <c r="G9" s="38">
        <v>1</v>
      </c>
      <c r="H9" s="39">
        <v>359.203</v>
      </c>
      <c r="I9" s="39">
        <v>373.44</v>
      </c>
      <c r="J9" s="39"/>
      <c r="K9" s="40"/>
      <c r="L9" s="41"/>
      <c r="M9" s="39"/>
      <c r="N9" s="39"/>
      <c r="O9" s="39"/>
      <c r="P9" s="42"/>
      <c r="Q9" s="43"/>
      <c r="R9" s="39">
        <v>3068.181</v>
      </c>
      <c r="S9" s="39">
        <v>3118.678</v>
      </c>
      <c r="T9" s="39"/>
      <c r="U9" s="40"/>
      <c r="V9" s="41"/>
      <c r="W9" s="39">
        <v>157.84</v>
      </c>
      <c r="X9" s="39">
        <v>154.56</v>
      </c>
      <c r="Y9" s="39"/>
      <c r="Z9" s="42"/>
      <c r="AA9" s="43"/>
      <c r="AB9" s="39">
        <v>5253</v>
      </c>
      <c r="AC9" s="39">
        <v>7280.999</v>
      </c>
      <c r="AD9" s="39"/>
      <c r="AE9" s="42"/>
      <c r="AF9" s="44">
        <v>800</v>
      </c>
      <c r="AG9" s="45">
        <v>1850</v>
      </c>
      <c r="AI9" s="34"/>
    </row>
    <row r="10" spans="3:35" ht="15">
      <c r="C10" s="46" t="s">
        <v>27</v>
      </c>
      <c r="D10" s="48" t="s">
        <v>28</v>
      </c>
      <c r="E10" s="48" t="s">
        <v>29</v>
      </c>
      <c r="F10" s="49">
        <v>298.837</v>
      </c>
      <c r="G10" s="38">
        <v>1</v>
      </c>
      <c r="H10" s="39">
        <v>287.645</v>
      </c>
      <c r="I10" s="39">
        <v>225.444</v>
      </c>
      <c r="J10" s="39"/>
      <c r="K10" s="40"/>
      <c r="L10" s="41"/>
      <c r="M10" s="39">
        <v>307.94</v>
      </c>
      <c r="N10" s="39">
        <v>252.61</v>
      </c>
      <c r="O10" s="39"/>
      <c r="P10" s="42"/>
      <c r="Q10" s="43"/>
      <c r="R10" s="39">
        <v>1538.74</v>
      </c>
      <c r="S10" s="39"/>
      <c r="T10" s="39"/>
      <c r="U10" s="40"/>
      <c r="V10" s="41"/>
      <c r="W10" s="39">
        <v>1227.88</v>
      </c>
      <c r="X10" s="39"/>
      <c r="Y10" s="39"/>
      <c r="Z10" s="42"/>
      <c r="AA10" s="43"/>
      <c r="AB10" s="39">
        <v>10879</v>
      </c>
      <c r="AC10" s="39"/>
      <c r="AD10" s="39"/>
      <c r="AE10" s="42"/>
      <c r="AF10" s="44">
        <v>0</v>
      </c>
      <c r="AG10" s="45">
        <v>2230</v>
      </c>
      <c r="AI10" s="34"/>
    </row>
    <row r="11" spans="3:35" ht="15">
      <c r="C11" s="50" t="s">
        <v>30</v>
      </c>
      <c r="D11" s="51" t="s">
        <v>31</v>
      </c>
      <c r="E11" s="51" t="s">
        <v>32</v>
      </c>
      <c r="F11" s="52">
        <v>140.8</v>
      </c>
      <c r="G11" s="38">
        <v>1</v>
      </c>
      <c r="H11" s="39"/>
      <c r="I11" s="39"/>
      <c r="J11" s="39"/>
      <c r="K11" s="40"/>
      <c r="L11" s="41"/>
      <c r="M11" s="39"/>
      <c r="N11" s="39"/>
      <c r="O11" s="39"/>
      <c r="P11" s="42"/>
      <c r="Q11" s="43"/>
      <c r="R11" s="39"/>
      <c r="S11" s="39"/>
      <c r="T11" s="39"/>
      <c r="U11" s="40"/>
      <c r="V11" s="41"/>
      <c r="W11" s="39"/>
      <c r="X11" s="39"/>
      <c r="Y11" s="39"/>
      <c r="Z11" s="42"/>
      <c r="AA11" s="43"/>
      <c r="AB11" s="39"/>
      <c r="AC11" s="39"/>
      <c r="AD11" s="39"/>
      <c r="AE11" s="42"/>
      <c r="AF11" s="44">
        <f>215+300+100+125</f>
        <v>740</v>
      </c>
      <c r="AG11" s="45">
        <v>4500</v>
      </c>
      <c r="AI11" s="34"/>
    </row>
    <row r="12" spans="3:35" ht="15.6" customHeight="1">
      <c r="C12" s="46" t="s">
        <v>33</v>
      </c>
      <c r="D12" s="48" t="s">
        <v>34</v>
      </c>
      <c r="E12" s="48" t="s">
        <v>35</v>
      </c>
      <c r="F12" s="49">
        <v>93</v>
      </c>
      <c r="G12" s="38">
        <v>1</v>
      </c>
      <c r="H12" s="39"/>
      <c r="I12" s="39"/>
      <c r="J12" s="39"/>
      <c r="K12" s="40"/>
      <c r="L12" s="41"/>
      <c r="M12" s="39"/>
      <c r="N12" s="39"/>
      <c r="O12" s="39"/>
      <c r="P12" s="42"/>
      <c r="Q12" s="43"/>
      <c r="R12" s="39">
        <v>1516.59</v>
      </c>
      <c r="S12" s="39"/>
      <c r="T12" s="39"/>
      <c r="U12" s="40"/>
      <c r="V12" s="41"/>
      <c r="W12" s="39">
        <v>64.55</v>
      </c>
      <c r="X12" s="39"/>
      <c r="Y12" s="39"/>
      <c r="Z12" s="42"/>
      <c r="AA12" s="43"/>
      <c r="AB12" s="39"/>
      <c r="AC12" s="39"/>
      <c r="AD12" s="39"/>
      <c r="AE12" s="42"/>
      <c r="AF12" s="44">
        <f>885+350</f>
        <v>1235</v>
      </c>
      <c r="AG12" s="45">
        <v>2200</v>
      </c>
      <c r="AI12" s="34"/>
    </row>
    <row r="13" spans="2:33" ht="51" customHeight="1">
      <c r="B13" s="1" t="s">
        <v>16</v>
      </c>
      <c r="C13" s="46" t="s">
        <v>36</v>
      </c>
      <c r="D13" s="53" t="s">
        <v>37</v>
      </c>
      <c r="E13" s="48" t="s">
        <v>38</v>
      </c>
      <c r="F13" s="49">
        <f>61.977+9.20558+8.871558+12.003058</f>
        <v>92.05719599999999</v>
      </c>
      <c r="G13" s="38">
        <v>4</v>
      </c>
      <c r="H13" s="39"/>
      <c r="I13" s="39"/>
      <c r="J13" s="39"/>
      <c r="K13" s="40"/>
      <c r="L13" s="41"/>
      <c r="M13" s="39"/>
      <c r="N13" s="39"/>
      <c r="O13" s="39"/>
      <c r="P13" s="42"/>
      <c r="Q13" s="43"/>
      <c r="R13" s="39"/>
      <c r="S13" s="39"/>
      <c r="T13" s="39"/>
      <c r="U13" s="40"/>
      <c r="V13" s="41"/>
      <c r="W13" s="39"/>
      <c r="X13" s="39"/>
      <c r="Y13" s="39"/>
      <c r="Z13" s="42"/>
      <c r="AA13" s="43"/>
      <c r="AB13" s="39">
        <v>170</v>
      </c>
      <c r="AC13" s="39">
        <v>175.999</v>
      </c>
      <c r="AD13" s="39">
        <v>168.001</v>
      </c>
      <c r="AE13" s="42"/>
      <c r="AF13" s="44">
        <v>350</v>
      </c>
      <c r="AG13" s="45">
        <v>580</v>
      </c>
    </row>
    <row r="14" spans="2:33" ht="36">
      <c r="B14" s="1" t="s">
        <v>16</v>
      </c>
      <c r="C14" s="46" t="s">
        <v>39</v>
      </c>
      <c r="D14" s="48" t="s">
        <v>40</v>
      </c>
      <c r="E14" s="48" t="s">
        <v>41</v>
      </c>
      <c r="F14" s="49">
        <f>59.015+30.492+0.117159</f>
        <v>89.624159</v>
      </c>
      <c r="G14" s="38">
        <v>3</v>
      </c>
      <c r="H14" s="39">
        <f>51.838+28.165</f>
        <v>80.003</v>
      </c>
      <c r="I14" s="39">
        <f>50.269+26.641</f>
        <v>76.91</v>
      </c>
      <c r="J14" s="39">
        <f>43.123+19.525</f>
        <v>62.647999999999996</v>
      </c>
      <c r="K14" s="40"/>
      <c r="L14" s="41"/>
      <c r="M14" s="39">
        <v>4.07</v>
      </c>
      <c r="N14" s="39">
        <v>4.591</v>
      </c>
      <c r="O14" s="39">
        <v>3.844</v>
      </c>
      <c r="P14" s="42"/>
      <c r="Q14" s="43"/>
      <c r="R14" s="39">
        <v>1736.659</v>
      </c>
      <c r="S14" s="39">
        <v>1717.987</v>
      </c>
      <c r="T14" s="39">
        <v>1596.987</v>
      </c>
      <c r="U14" s="40"/>
      <c r="V14" s="41"/>
      <c r="W14" s="39">
        <v>169.679</v>
      </c>
      <c r="X14" s="39">
        <v>167.999</v>
      </c>
      <c r="Y14" s="39">
        <v>160</v>
      </c>
      <c r="Z14" s="42"/>
      <c r="AA14" s="43"/>
      <c r="AB14" s="39">
        <v>1508</v>
      </c>
      <c r="AC14" s="39">
        <v>1299</v>
      </c>
      <c r="AD14" s="39">
        <v>1198</v>
      </c>
      <c r="AE14" s="42"/>
      <c r="AF14" s="44" t="s">
        <v>42</v>
      </c>
      <c r="AG14" s="45">
        <v>4300</v>
      </c>
    </row>
    <row r="15" spans="3:33" ht="24">
      <c r="C15" s="46" t="s">
        <v>43</v>
      </c>
      <c r="D15" s="48" t="s">
        <v>44</v>
      </c>
      <c r="E15" s="54" t="s">
        <v>45</v>
      </c>
      <c r="F15" s="49">
        <v>81.69</v>
      </c>
      <c r="G15" s="38">
        <v>1</v>
      </c>
      <c r="H15" s="39"/>
      <c r="I15" s="39"/>
      <c r="J15" s="39"/>
      <c r="K15" s="40"/>
      <c r="L15" s="41"/>
      <c r="M15" s="39"/>
      <c r="N15" s="39"/>
      <c r="O15" s="39"/>
      <c r="P15" s="42"/>
      <c r="Q15" s="43"/>
      <c r="R15" s="39"/>
      <c r="S15" s="39"/>
      <c r="T15" s="39"/>
      <c r="U15" s="40"/>
      <c r="V15" s="41"/>
      <c r="W15" s="39"/>
      <c r="X15" s="39"/>
      <c r="Y15" s="39"/>
      <c r="Z15" s="42"/>
      <c r="AA15" s="43"/>
      <c r="AB15" s="39"/>
      <c r="AC15" s="39"/>
      <c r="AD15" s="39"/>
      <c r="AE15" s="42"/>
      <c r="AF15" s="44"/>
      <c r="AG15" s="45"/>
    </row>
    <row r="16" spans="3:33" ht="15">
      <c r="C16" s="46" t="s">
        <v>46</v>
      </c>
      <c r="D16" s="48" t="s">
        <v>47</v>
      </c>
      <c r="E16" s="48" t="s">
        <v>48</v>
      </c>
      <c r="F16" s="49">
        <v>71.832</v>
      </c>
      <c r="G16" s="38">
        <v>1</v>
      </c>
      <c r="H16" s="39"/>
      <c r="I16" s="39">
        <v>43.35</v>
      </c>
      <c r="J16" s="39">
        <v>71.832</v>
      </c>
      <c r="K16" s="40"/>
      <c r="L16" s="41"/>
      <c r="M16" s="39"/>
      <c r="N16" s="39"/>
      <c r="O16" s="39"/>
      <c r="P16" s="42"/>
      <c r="Q16" s="43"/>
      <c r="R16" s="39"/>
      <c r="S16" s="39"/>
      <c r="T16" s="39"/>
      <c r="U16" s="40"/>
      <c r="V16" s="41"/>
      <c r="W16" s="39"/>
      <c r="X16" s="39"/>
      <c r="Y16" s="39"/>
      <c r="Z16" s="42"/>
      <c r="AA16" s="43"/>
      <c r="AB16" s="39">
        <v>148.999</v>
      </c>
      <c r="AC16" s="39">
        <v>129.999</v>
      </c>
      <c r="AD16" s="39">
        <v>123.999</v>
      </c>
      <c r="AE16" s="42"/>
      <c r="AF16" s="44">
        <v>69</v>
      </c>
      <c r="AG16" s="45">
        <v>236</v>
      </c>
    </row>
    <row r="17" spans="3:33" ht="15">
      <c r="C17" s="46" t="s">
        <v>49</v>
      </c>
      <c r="D17" s="48" t="s">
        <v>50</v>
      </c>
      <c r="E17" s="48" t="s">
        <v>51</v>
      </c>
      <c r="F17" s="49">
        <v>64.512</v>
      </c>
      <c r="G17" s="38">
        <v>1</v>
      </c>
      <c r="H17" s="39">
        <v>67.842</v>
      </c>
      <c r="I17" s="39">
        <v>67.622</v>
      </c>
      <c r="J17" s="39">
        <v>56.801</v>
      </c>
      <c r="K17" s="40"/>
      <c r="L17" s="41"/>
      <c r="M17" s="39">
        <v>28.26</v>
      </c>
      <c r="N17" s="39">
        <v>27.113</v>
      </c>
      <c r="O17" s="39">
        <v>17.778</v>
      </c>
      <c r="P17" s="42"/>
      <c r="Q17" s="43"/>
      <c r="R17" s="39">
        <v>1108.263</v>
      </c>
      <c r="S17" s="39">
        <v>1075.492</v>
      </c>
      <c r="T17" s="39">
        <v>1016.131</v>
      </c>
      <c r="U17" s="40"/>
      <c r="V17" s="41"/>
      <c r="W17" s="39">
        <v>39.5</v>
      </c>
      <c r="X17" s="39">
        <v>42.5</v>
      </c>
      <c r="Y17" s="39">
        <v>45.199</v>
      </c>
      <c r="Z17" s="42"/>
      <c r="AA17" s="43"/>
      <c r="AB17" s="39">
        <v>2165.998</v>
      </c>
      <c r="AC17" s="39">
        <v>2277.999</v>
      </c>
      <c r="AD17" s="39">
        <v>2063.001</v>
      </c>
      <c r="AE17" s="42"/>
      <c r="AF17" s="44">
        <v>80</v>
      </c>
      <c r="AG17" s="45">
        <f>1630+100</f>
        <v>1730</v>
      </c>
    </row>
    <row r="18" spans="3:33" ht="15">
      <c r="C18" s="46" t="s">
        <v>52</v>
      </c>
      <c r="D18" s="55" t="s">
        <v>53</v>
      </c>
      <c r="E18" s="48" t="s">
        <v>54</v>
      </c>
      <c r="F18" s="49">
        <v>62</v>
      </c>
      <c r="G18" s="38">
        <v>1</v>
      </c>
      <c r="H18" s="39">
        <f>53.897</f>
        <v>53.897</v>
      </c>
      <c r="I18" s="39"/>
      <c r="J18" s="39"/>
      <c r="K18" s="40"/>
      <c r="L18" s="41"/>
      <c r="M18" s="39">
        <v>0.965</v>
      </c>
      <c r="N18" s="39">
        <v>0.836</v>
      </c>
      <c r="O18" s="39"/>
      <c r="P18" s="42"/>
      <c r="Q18" s="43"/>
      <c r="R18" s="39">
        <v>420.367</v>
      </c>
      <c r="S18" s="39">
        <v>435.856</v>
      </c>
      <c r="T18" s="39"/>
      <c r="U18" s="40"/>
      <c r="V18" s="41"/>
      <c r="W18" s="39">
        <v>82.16</v>
      </c>
      <c r="X18" s="39">
        <v>54.319</v>
      </c>
      <c r="Y18" s="39"/>
      <c r="Z18" s="42"/>
      <c r="AA18" s="43"/>
      <c r="AB18" s="39">
        <v>1108</v>
      </c>
      <c r="AC18" s="39">
        <v>1139</v>
      </c>
      <c r="AD18" s="39"/>
      <c r="AE18" s="42"/>
      <c r="AF18" s="44">
        <f>68+220</f>
        <v>288</v>
      </c>
      <c r="AG18" s="45">
        <v>730</v>
      </c>
    </row>
    <row r="19" spans="3:33" ht="13.95" customHeight="1">
      <c r="C19" s="50" t="s">
        <v>55</v>
      </c>
      <c r="D19" s="51" t="s">
        <v>56</v>
      </c>
      <c r="E19" s="51" t="s">
        <v>57</v>
      </c>
      <c r="F19" s="56">
        <v>59.7</v>
      </c>
      <c r="G19" s="38">
        <v>1</v>
      </c>
      <c r="H19" s="39">
        <v>61.186</v>
      </c>
      <c r="I19" s="39"/>
      <c r="J19" s="39"/>
      <c r="K19" s="40"/>
      <c r="L19" s="41"/>
      <c r="M19" s="39"/>
      <c r="N19" s="39"/>
      <c r="O19" s="39"/>
      <c r="P19" s="42"/>
      <c r="Q19" s="43"/>
      <c r="R19" s="39">
        <v>424.997</v>
      </c>
      <c r="S19" s="39"/>
      <c r="T19" s="39"/>
      <c r="U19" s="40"/>
      <c r="V19" s="41"/>
      <c r="W19" s="39"/>
      <c r="X19" s="39"/>
      <c r="Y19" s="39"/>
      <c r="Z19" s="42"/>
      <c r="AA19" s="43"/>
      <c r="AB19" s="39"/>
      <c r="AC19" s="39"/>
      <c r="AD19" s="39"/>
      <c r="AE19" s="42"/>
      <c r="AF19" s="44">
        <v>80</v>
      </c>
      <c r="AG19" s="45">
        <v>145</v>
      </c>
    </row>
    <row r="20" spans="3:33" ht="24">
      <c r="C20" s="46" t="s">
        <v>58</v>
      </c>
      <c r="D20" s="48" t="s">
        <v>59</v>
      </c>
      <c r="E20" s="48" t="s">
        <v>60</v>
      </c>
      <c r="F20" s="49">
        <f>25.071+21.651277</f>
        <v>46.722277000000005</v>
      </c>
      <c r="G20" s="38">
        <v>2</v>
      </c>
      <c r="H20" s="39">
        <f>25.071+16.132</f>
        <v>41.203</v>
      </c>
      <c r="I20" s="39">
        <f>18.645+15.378</f>
        <v>34.022999999999996</v>
      </c>
      <c r="J20" s="39"/>
      <c r="K20" s="40"/>
      <c r="L20" s="41"/>
      <c r="M20" s="39"/>
      <c r="N20" s="39"/>
      <c r="O20" s="39"/>
      <c r="P20" s="42"/>
      <c r="Q20" s="43"/>
      <c r="R20" s="39"/>
      <c r="S20" s="39"/>
      <c r="T20" s="39"/>
      <c r="U20" s="40"/>
      <c r="V20" s="41"/>
      <c r="W20" s="39"/>
      <c r="X20" s="39"/>
      <c r="Y20" s="39"/>
      <c r="Z20" s="42"/>
      <c r="AA20" s="43"/>
      <c r="AB20" s="39"/>
      <c r="AC20" s="39"/>
      <c r="AD20" s="39"/>
      <c r="AE20" s="42"/>
      <c r="AF20" s="44">
        <v>70</v>
      </c>
      <c r="AG20" s="45">
        <v>420</v>
      </c>
    </row>
    <row r="21" spans="3:33" ht="15">
      <c r="C21" s="46" t="s">
        <v>61</v>
      </c>
      <c r="D21" s="48" t="s">
        <v>62</v>
      </c>
      <c r="E21" s="48" t="s">
        <v>63</v>
      </c>
      <c r="F21" s="49">
        <v>43.512845</v>
      </c>
      <c r="G21" s="38">
        <v>1</v>
      </c>
      <c r="H21" s="39"/>
      <c r="I21" s="39"/>
      <c r="J21" s="39"/>
      <c r="K21" s="40"/>
      <c r="L21" s="41"/>
      <c r="M21" s="39"/>
      <c r="N21" s="39"/>
      <c r="O21" s="39"/>
      <c r="P21" s="42"/>
      <c r="Q21" s="43"/>
      <c r="R21" s="39"/>
      <c r="S21" s="39"/>
      <c r="T21" s="39"/>
      <c r="U21" s="40"/>
      <c r="V21" s="41"/>
      <c r="W21" s="39"/>
      <c r="X21" s="39"/>
      <c r="Y21" s="39"/>
      <c r="Z21" s="42"/>
      <c r="AA21" s="43"/>
      <c r="AB21" s="39"/>
      <c r="AC21" s="39"/>
      <c r="AD21" s="39"/>
      <c r="AE21" s="42"/>
      <c r="AF21" s="44"/>
      <c r="AG21" s="45">
        <v>725</v>
      </c>
    </row>
    <row r="22" spans="3:33" ht="24">
      <c r="C22" s="46" t="s">
        <v>64</v>
      </c>
      <c r="D22" s="48" t="s">
        <v>65</v>
      </c>
      <c r="E22" s="48" t="s">
        <v>66</v>
      </c>
      <c r="F22" s="49">
        <f>15.04117+24.7</f>
        <v>39.74117</v>
      </c>
      <c r="G22" s="38">
        <v>2</v>
      </c>
      <c r="H22" s="39"/>
      <c r="I22" s="39"/>
      <c r="J22" s="39"/>
      <c r="K22" s="40"/>
      <c r="L22" s="41"/>
      <c r="M22" s="39"/>
      <c r="N22" s="39"/>
      <c r="O22" s="39"/>
      <c r="P22" s="42"/>
      <c r="Q22" s="43"/>
      <c r="R22" s="39"/>
      <c r="S22" s="39"/>
      <c r="T22" s="39"/>
      <c r="U22" s="40"/>
      <c r="V22" s="41"/>
      <c r="W22" s="39"/>
      <c r="X22" s="39"/>
      <c r="Y22" s="39"/>
      <c r="Z22" s="42"/>
      <c r="AA22" s="43"/>
      <c r="AB22" s="39"/>
      <c r="AC22" s="39"/>
      <c r="AD22" s="39"/>
      <c r="AE22" s="42"/>
      <c r="AF22" s="44">
        <v>320</v>
      </c>
      <c r="AG22" s="45">
        <v>1400</v>
      </c>
    </row>
    <row r="23" spans="3:33" ht="15">
      <c r="C23" s="46" t="s">
        <v>67</v>
      </c>
      <c r="D23" s="48" t="s">
        <v>68</v>
      </c>
      <c r="E23" s="48" t="s">
        <v>69</v>
      </c>
      <c r="F23" s="49">
        <v>39.7</v>
      </c>
      <c r="G23" s="38">
        <v>1</v>
      </c>
      <c r="H23" s="39"/>
      <c r="I23" s="39"/>
      <c r="J23" s="39"/>
      <c r="K23" s="40"/>
      <c r="L23" s="41"/>
      <c r="M23" s="39"/>
      <c r="N23" s="39"/>
      <c r="O23" s="39"/>
      <c r="P23" s="42"/>
      <c r="Q23" s="43"/>
      <c r="R23" s="39"/>
      <c r="S23" s="39"/>
      <c r="T23" s="39"/>
      <c r="U23" s="40"/>
      <c r="V23" s="41"/>
      <c r="W23" s="39"/>
      <c r="X23" s="39"/>
      <c r="Y23" s="39"/>
      <c r="Z23" s="42"/>
      <c r="AA23" s="43"/>
      <c r="AB23" s="39"/>
      <c r="AC23" s="39"/>
      <c r="AD23" s="39"/>
      <c r="AE23" s="42"/>
      <c r="AF23" s="44">
        <v>55</v>
      </c>
      <c r="AG23" s="45">
        <v>400</v>
      </c>
    </row>
    <row r="24" spans="3:33" ht="24">
      <c r="C24" s="46" t="s">
        <v>70</v>
      </c>
      <c r="D24" s="48" t="s">
        <v>47</v>
      </c>
      <c r="E24" s="48" t="s">
        <v>71</v>
      </c>
      <c r="F24" s="49">
        <f>39.113+0.131503</f>
        <v>39.244503</v>
      </c>
      <c r="G24" s="38">
        <v>2</v>
      </c>
      <c r="H24" s="39"/>
      <c r="I24" s="39"/>
      <c r="J24" s="39">
        <f>39.279+0.074</f>
        <v>39.353</v>
      </c>
      <c r="K24" s="40"/>
      <c r="L24" s="41"/>
      <c r="M24" s="39"/>
      <c r="N24" s="39"/>
      <c r="O24" s="39"/>
      <c r="P24" s="42"/>
      <c r="Q24" s="43"/>
      <c r="R24" s="39"/>
      <c r="S24" s="39"/>
      <c r="T24" s="39"/>
      <c r="U24" s="40"/>
      <c r="V24" s="41"/>
      <c r="W24" s="39"/>
      <c r="X24" s="39"/>
      <c r="Y24" s="39"/>
      <c r="Z24" s="42"/>
      <c r="AA24" s="43"/>
      <c r="AB24" s="39"/>
      <c r="AC24" s="39"/>
      <c r="AD24" s="39"/>
      <c r="AE24" s="42"/>
      <c r="AF24" s="44">
        <v>0</v>
      </c>
      <c r="AG24" s="45">
        <v>0</v>
      </c>
    </row>
    <row r="25" spans="3:33" ht="15">
      <c r="C25" s="46" t="s">
        <v>72</v>
      </c>
      <c r="D25" s="48" t="s">
        <v>68</v>
      </c>
      <c r="E25" s="48" t="s">
        <v>73</v>
      </c>
      <c r="F25" s="49">
        <v>38.084</v>
      </c>
      <c r="G25" s="38">
        <v>1</v>
      </c>
      <c r="H25" s="39">
        <v>37.541</v>
      </c>
      <c r="I25" s="39">
        <v>33.945</v>
      </c>
      <c r="J25" s="39">
        <v>33.83</v>
      </c>
      <c r="K25" s="40"/>
      <c r="L25" s="41"/>
      <c r="M25" s="39">
        <v>61.623</v>
      </c>
      <c r="N25" s="39">
        <v>41.073</v>
      </c>
      <c r="O25" s="39">
        <v>26.713</v>
      </c>
      <c r="P25" s="42"/>
      <c r="Q25" s="43"/>
      <c r="R25" s="39">
        <v>1498.991</v>
      </c>
      <c r="S25" s="39">
        <v>1563.989</v>
      </c>
      <c r="T25" s="39">
        <v>1502.987</v>
      </c>
      <c r="U25" s="40"/>
      <c r="V25" s="41"/>
      <c r="W25" s="39"/>
      <c r="X25" s="39"/>
      <c r="Y25" s="39"/>
      <c r="Z25" s="42"/>
      <c r="AA25" s="43"/>
      <c r="AB25" s="39">
        <v>2366.001</v>
      </c>
      <c r="AC25" s="39">
        <v>2241.001</v>
      </c>
      <c r="AD25" s="39">
        <v>2180</v>
      </c>
      <c r="AE25" s="42"/>
      <c r="AF25" s="44">
        <f>37+68</f>
        <v>105</v>
      </c>
      <c r="AG25" s="45">
        <f>660-40</f>
        <v>620</v>
      </c>
    </row>
    <row r="26" spans="3:33" ht="15">
      <c r="C26" s="46" t="s">
        <v>74</v>
      </c>
      <c r="D26" s="48" t="s">
        <v>68</v>
      </c>
      <c r="E26" s="48" t="s">
        <v>75</v>
      </c>
      <c r="F26" s="49">
        <v>31.235267</v>
      </c>
      <c r="G26" s="38">
        <v>1</v>
      </c>
      <c r="H26" s="39">
        <v>34.635</v>
      </c>
      <c r="I26" s="39">
        <v>33.445</v>
      </c>
      <c r="J26" s="39">
        <v>27.03</v>
      </c>
      <c r="K26" s="40"/>
      <c r="L26" s="41"/>
      <c r="M26" s="39">
        <v>4.7</v>
      </c>
      <c r="N26" s="39">
        <v>5.199</v>
      </c>
      <c r="O26" s="39">
        <v>9.056</v>
      </c>
      <c r="P26" s="42"/>
      <c r="Q26" s="43"/>
      <c r="R26" s="39"/>
      <c r="S26" s="39"/>
      <c r="T26" s="39"/>
      <c r="U26" s="40"/>
      <c r="V26" s="41"/>
      <c r="W26" s="39"/>
      <c r="X26" s="39"/>
      <c r="Y26" s="39"/>
      <c r="Z26" s="42"/>
      <c r="AA26" s="43"/>
      <c r="AB26" s="39">
        <f>320+323</f>
        <v>643</v>
      </c>
      <c r="AC26" s="39">
        <f>244.999+354.999</f>
        <v>599.998</v>
      </c>
      <c r="AD26" s="39">
        <f>201.999+397</f>
        <v>598.999</v>
      </c>
      <c r="AE26" s="42"/>
      <c r="AF26" s="44">
        <v>95</v>
      </c>
      <c r="AG26" s="45">
        <f>1500-221</f>
        <v>1279</v>
      </c>
    </row>
    <row r="27" spans="3:33" ht="24">
      <c r="C27" s="46" t="s">
        <v>76</v>
      </c>
      <c r="D27" s="48" t="s">
        <v>65</v>
      </c>
      <c r="E27" s="48" t="s">
        <v>77</v>
      </c>
      <c r="F27" s="49">
        <f>10.932882+12.971872</f>
        <v>23.904753999999997</v>
      </c>
      <c r="G27" s="38">
        <v>2</v>
      </c>
      <c r="H27" s="39"/>
      <c r="I27" s="39"/>
      <c r="J27" s="39"/>
      <c r="K27" s="40"/>
      <c r="L27" s="41"/>
      <c r="M27" s="39"/>
      <c r="N27" s="39"/>
      <c r="O27" s="39"/>
      <c r="P27" s="42"/>
      <c r="Q27" s="43"/>
      <c r="R27" s="39"/>
      <c r="S27" s="39"/>
      <c r="T27" s="39"/>
      <c r="U27" s="40"/>
      <c r="V27" s="41"/>
      <c r="W27" s="39"/>
      <c r="X27" s="39"/>
      <c r="Y27" s="39"/>
      <c r="Z27" s="42"/>
      <c r="AA27" s="43"/>
      <c r="AB27" s="39"/>
      <c r="AC27" s="39"/>
      <c r="AD27" s="39"/>
      <c r="AE27" s="42"/>
      <c r="AF27" s="44">
        <v>0</v>
      </c>
      <c r="AG27" s="45">
        <v>250</v>
      </c>
    </row>
    <row r="28" spans="2:33" ht="15">
      <c r="B28" s="57"/>
      <c r="C28" s="46" t="s">
        <v>78</v>
      </c>
      <c r="D28" s="48" t="s">
        <v>79</v>
      </c>
      <c r="E28" s="48" t="s">
        <v>80</v>
      </c>
      <c r="F28" s="49">
        <v>23.386</v>
      </c>
      <c r="G28" s="38">
        <v>1</v>
      </c>
      <c r="H28" s="39"/>
      <c r="I28" s="39"/>
      <c r="J28" s="39"/>
      <c r="K28" s="40"/>
      <c r="L28" s="41"/>
      <c r="M28" s="39"/>
      <c r="N28" s="39"/>
      <c r="O28" s="39"/>
      <c r="P28" s="42"/>
      <c r="Q28" s="43"/>
      <c r="R28" s="39"/>
      <c r="S28" s="39"/>
      <c r="T28" s="39"/>
      <c r="U28" s="40"/>
      <c r="V28" s="41"/>
      <c r="W28" s="39"/>
      <c r="X28" s="39"/>
      <c r="Y28" s="39"/>
      <c r="Z28" s="42"/>
      <c r="AA28" s="43">
        <v>2</v>
      </c>
      <c r="AB28" s="39">
        <f>276.882+207.397</f>
        <v>484.279</v>
      </c>
      <c r="AC28" s="39"/>
      <c r="AD28" s="39"/>
      <c r="AE28" s="42"/>
      <c r="AF28" s="44">
        <f>200+170+50</f>
        <v>420</v>
      </c>
      <c r="AG28" s="45">
        <v>1260</v>
      </c>
    </row>
    <row r="29" spans="3:33" ht="15">
      <c r="C29" s="46" t="s">
        <v>81</v>
      </c>
      <c r="D29" s="48" t="s">
        <v>82</v>
      </c>
      <c r="E29" s="48" t="s">
        <v>83</v>
      </c>
      <c r="F29" s="49">
        <v>22.29201</v>
      </c>
      <c r="G29" s="38">
        <v>1</v>
      </c>
      <c r="H29" s="39">
        <v>23.679</v>
      </c>
      <c r="I29" s="39"/>
      <c r="J29" s="39"/>
      <c r="K29" s="40"/>
      <c r="L29" s="41"/>
      <c r="M29" s="39">
        <v>145.312</v>
      </c>
      <c r="N29" s="39"/>
      <c r="O29" s="39"/>
      <c r="P29" s="42"/>
      <c r="Q29" s="43"/>
      <c r="R29" s="39"/>
      <c r="S29" s="39"/>
      <c r="T29" s="39"/>
      <c r="U29" s="40"/>
      <c r="V29" s="41"/>
      <c r="W29" s="39"/>
      <c r="X29" s="39"/>
      <c r="Y29" s="39"/>
      <c r="Z29" s="42"/>
      <c r="AA29" s="43"/>
      <c r="AB29" s="39">
        <v>509</v>
      </c>
      <c r="AC29" s="39"/>
      <c r="AD29" s="39"/>
      <c r="AE29" s="42"/>
      <c r="AF29" s="44">
        <v>290</v>
      </c>
      <c r="AG29" s="45">
        <v>790</v>
      </c>
    </row>
    <row r="30" spans="3:33" ht="15">
      <c r="C30" s="46" t="s">
        <v>84</v>
      </c>
      <c r="D30" s="48" t="s">
        <v>85</v>
      </c>
      <c r="E30" s="48" t="s">
        <v>86</v>
      </c>
      <c r="F30" s="49">
        <v>20.365868</v>
      </c>
      <c r="G30" s="38">
        <v>1</v>
      </c>
      <c r="H30" s="39">
        <v>20.007</v>
      </c>
      <c r="I30" s="39"/>
      <c r="J30" s="39"/>
      <c r="K30" s="40"/>
      <c r="L30" s="41"/>
      <c r="M30" s="39"/>
      <c r="N30" s="39"/>
      <c r="O30" s="39"/>
      <c r="P30" s="42"/>
      <c r="Q30" s="43"/>
      <c r="R30" s="39">
        <v>260.998</v>
      </c>
      <c r="S30" s="39"/>
      <c r="T30" s="39"/>
      <c r="U30" s="40"/>
      <c r="V30" s="41"/>
      <c r="W30" s="39">
        <v>69</v>
      </c>
      <c r="X30" s="39"/>
      <c r="Y30" s="39"/>
      <c r="Z30" s="42"/>
      <c r="AA30" s="43"/>
      <c r="AB30" s="39">
        <v>964.001</v>
      </c>
      <c r="AC30" s="39"/>
      <c r="AD30" s="39"/>
      <c r="AE30" s="42"/>
      <c r="AF30" s="44">
        <v>460</v>
      </c>
      <c r="AG30" s="45">
        <v>480</v>
      </c>
    </row>
    <row r="31" spans="3:33" ht="24">
      <c r="C31" s="46" t="s">
        <v>87</v>
      </c>
      <c r="D31" s="48" t="s">
        <v>47</v>
      </c>
      <c r="E31" s="48" t="s">
        <v>88</v>
      </c>
      <c r="F31" s="49">
        <f>0.453736+15.709138</f>
        <v>16.162874</v>
      </c>
      <c r="G31" s="38">
        <v>2</v>
      </c>
      <c r="H31" s="39">
        <f>0.606+21.967</f>
        <v>22.573</v>
      </c>
      <c r="I31" s="39">
        <f>0.514+20.414</f>
        <v>20.928</v>
      </c>
      <c r="J31" s="39">
        <f>0.802+22.061</f>
        <v>22.863</v>
      </c>
      <c r="K31" s="40"/>
      <c r="L31" s="41"/>
      <c r="M31" s="39"/>
      <c r="N31" s="39"/>
      <c r="O31" s="39"/>
      <c r="P31" s="42"/>
      <c r="Q31" s="43"/>
      <c r="R31" s="39">
        <v>174.998</v>
      </c>
      <c r="S31" s="39">
        <v>182.998</v>
      </c>
      <c r="T31" s="39">
        <v>212.998</v>
      </c>
      <c r="U31" s="40"/>
      <c r="V31" s="41"/>
      <c r="W31" s="39"/>
      <c r="X31" s="39"/>
      <c r="Y31" s="39"/>
      <c r="Z31" s="42"/>
      <c r="AA31" s="43"/>
      <c r="AB31" s="39">
        <v>427</v>
      </c>
      <c r="AC31" s="39">
        <v>425</v>
      </c>
      <c r="AD31" s="39">
        <v>414</v>
      </c>
      <c r="AE31" s="42"/>
      <c r="AF31" s="44">
        <f>210+120</f>
        <v>330</v>
      </c>
      <c r="AG31" s="45">
        <v>770</v>
      </c>
    </row>
    <row r="32" spans="3:33" ht="15">
      <c r="C32" s="46" t="s">
        <v>89</v>
      </c>
      <c r="D32" s="55" t="s">
        <v>53</v>
      </c>
      <c r="E32" s="48" t="s">
        <v>90</v>
      </c>
      <c r="F32" s="49">
        <v>15.718916</v>
      </c>
      <c r="G32" s="38">
        <v>1</v>
      </c>
      <c r="H32" s="39">
        <v>14.102</v>
      </c>
      <c r="I32" s="39"/>
      <c r="J32" s="39"/>
      <c r="K32" s="40"/>
      <c r="L32" s="41"/>
      <c r="M32" s="39">
        <v>222.724</v>
      </c>
      <c r="N32" s="39"/>
      <c r="O32" s="39"/>
      <c r="P32" s="42"/>
      <c r="Q32" s="43"/>
      <c r="R32" s="39"/>
      <c r="S32" s="39"/>
      <c r="T32" s="39"/>
      <c r="U32" s="40"/>
      <c r="V32" s="41"/>
      <c r="W32" s="39"/>
      <c r="X32" s="39"/>
      <c r="Y32" s="39"/>
      <c r="Z32" s="42"/>
      <c r="AA32" s="43"/>
      <c r="AB32" s="39">
        <v>393</v>
      </c>
      <c r="AC32" s="39">
        <v>311</v>
      </c>
      <c r="AD32" s="39"/>
      <c r="AE32" s="42"/>
      <c r="AF32" s="44">
        <f>100+80+80</f>
        <v>260</v>
      </c>
      <c r="AG32" s="45">
        <v>806</v>
      </c>
    </row>
    <row r="33" spans="3:33" ht="15">
      <c r="C33" s="46" t="s">
        <v>91</v>
      </c>
      <c r="D33" s="48" t="s">
        <v>92</v>
      </c>
      <c r="E33" s="48" t="s">
        <v>93</v>
      </c>
      <c r="F33" s="49">
        <v>15.132228</v>
      </c>
      <c r="G33" s="38">
        <v>1</v>
      </c>
      <c r="H33" s="39"/>
      <c r="I33" s="39"/>
      <c r="J33" s="39"/>
      <c r="K33" s="40"/>
      <c r="L33" s="41"/>
      <c r="M33" s="39"/>
      <c r="N33" s="39"/>
      <c r="O33" s="39"/>
      <c r="P33" s="42"/>
      <c r="Q33" s="43"/>
      <c r="R33" s="39"/>
      <c r="S33" s="39"/>
      <c r="T33" s="39"/>
      <c r="U33" s="40"/>
      <c r="V33" s="41"/>
      <c r="W33" s="39"/>
      <c r="X33" s="39"/>
      <c r="Y33" s="39"/>
      <c r="Z33" s="42"/>
      <c r="AA33" s="43"/>
      <c r="AB33" s="39"/>
      <c r="AC33" s="39"/>
      <c r="AD33" s="39"/>
      <c r="AE33" s="42"/>
      <c r="AF33" s="44">
        <v>500</v>
      </c>
      <c r="AG33" s="45">
        <v>680</v>
      </c>
    </row>
    <row r="34" spans="2:33" ht="15">
      <c r="B34" s="1" t="s">
        <v>16</v>
      </c>
      <c r="C34" s="46" t="s">
        <v>94</v>
      </c>
      <c r="D34" s="48" t="s">
        <v>95</v>
      </c>
      <c r="E34" s="48" t="s">
        <v>96</v>
      </c>
      <c r="F34" s="49">
        <v>14.4</v>
      </c>
      <c r="G34" s="38">
        <v>1</v>
      </c>
      <c r="H34" s="39">
        <v>16.292</v>
      </c>
      <c r="I34" s="39"/>
      <c r="J34" s="39"/>
      <c r="K34" s="40"/>
      <c r="L34" s="41"/>
      <c r="M34" s="39"/>
      <c r="N34" s="39"/>
      <c r="O34" s="39"/>
      <c r="P34" s="42"/>
      <c r="Q34" s="43"/>
      <c r="R34" s="39"/>
      <c r="S34" s="39"/>
      <c r="T34" s="39"/>
      <c r="U34" s="40"/>
      <c r="V34" s="41"/>
      <c r="W34" s="39"/>
      <c r="X34" s="39"/>
      <c r="Y34" s="39"/>
      <c r="Z34" s="42"/>
      <c r="AA34" s="43"/>
      <c r="AB34" s="39">
        <v>1275</v>
      </c>
      <c r="AC34" s="39"/>
      <c r="AD34" s="39"/>
      <c r="AE34" s="42"/>
      <c r="AF34" s="44">
        <f>3*80+95</f>
        <v>335</v>
      </c>
      <c r="AG34" s="45">
        <v>1300</v>
      </c>
    </row>
    <row r="35" spans="3:33" ht="36">
      <c r="C35" s="46" t="s">
        <v>97</v>
      </c>
      <c r="D35" s="55" t="s">
        <v>53</v>
      </c>
      <c r="E35" s="48" t="s">
        <v>98</v>
      </c>
      <c r="F35" s="49">
        <f>2.045991+10.371942+1.431993</f>
        <v>13.849926000000002</v>
      </c>
      <c r="G35" s="38">
        <v>3</v>
      </c>
      <c r="H35" s="39">
        <f>2.158+10.711+0.531</f>
        <v>13.4</v>
      </c>
      <c r="I35" s="39"/>
      <c r="J35" s="39"/>
      <c r="K35" s="40"/>
      <c r="L35" s="41"/>
      <c r="M35" s="39">
        <v>258.736</v>
      </c>
      <c r="N35" s="39"/>
      <c r="O35" s="39"/>
      <c r="P35" s="42"/>
      <c r="Q35" s="43"/>
      <c r="R35" s="39"/>
      <c r="S35" s="39"/>
      <c r="T35" s="39"/>
      <c r="U35" s="40"/>
      <c r="V35" s="41"/>
      <c r="W35" s="39"/>
      <c r="X35" s="39"/>
      <c r="Y35" s="39"/>
      <c r="Z35" s="42"/>
      <c r="AA35" s="43"/>
      <c r="AB35" s="39">
        <v>976.999</v>
      </c>
      <c r="AC35" s="39">
        <v>982.001</v>
      </c>
      <c r="AD35" s="39"/>
      <c r="AE35" s="42"/>
      <c r="AF35" s="44">
        <f>2*70+40+20</f>
        <v>200</v>
      </c>
      <c r="AG35" s="45">
        <v>870</v>
      </c>
    </row>
    <row r="36" spans="3:33" ht="15">
      <c r="C36" s="46" t="s">
        <v>99</v>
      </c>
      <c r="D36" s="48" t="s">
        <v>65</v>
      </c>
      <c r="E36" s="48" t="s">
        <v>100</v>
      </c>
      <c r="F36" s="49">
        <v>11.959062</v>
      </c>
      <c r="G36" s="38">
        <v>6</v>
      </c>
      <c r="H36" s="39"/>
      <c r="I36" s="39"/>
      <c r="J36" s="39"/>
      <c r="K36" s="40"/>
      <c r="L36" s="41"/>
      <c r="M36" s="39"/>
      <c r="N36" s="39"/>
      <c r="O36" s="39"/>
      <c r="P36" s="42"/>
      <c r="Q36" s="43"/>
      <c r="R36" s="39"/>
      <c r="S36" s="39"/>
      <c r="T36" s="39"/>
      <c r="U36" s="40"/>
      <c r="V36" s="41"/>
      <c r="W36" s="39"/>
      <c r="X36" s="39"/>
      <c r="Y36" s="39"/>
      <c r="Z36" s="42"/>
      <c r="AA36" s="43"/>
      <c r="AB36" s="39"/>
      <c r="AC36" s="39"/>
      <c r="AD36" s="39"/>
      <c r="AE36" s="42"/>
      <c r="AF36" s="44">
        <v>110</v>
      </c>
      <c r="AG36" s="45">
        <v>270</v>
      </c>
    </row>
    <row r="37" spans="3:33" ht="84">
      <c r="C37" s="46" t="s">
        <v>101</v>
      </c>
      <c r="D37" s="48" t="s">
        <v>102</v>
      </c>
      <c r="E37" s="48" t="s">
        <v>103</v>
      </c>
      <c r="F37" s="49">
        <f>3+0.026143+0.201676+1.769754+6.565318</f>
        <v>11.562891</v>
      </c>
      <c r="G37" s="38">
        <v>7</v>
      </c>
      <c r="H37" s="39">
        <f>2.577+0.128+1.072+7.398+18.642</f>
        <v>29.817</v>
      </c>
      <c r="I37" s="39"/>
      <c r="J37" s="39"/>
      <c r="K37" s="40"/>
      <c r="L37" s="41"/>
      <c r="M37" s="39"/>
      <c r="N37" s="39"/>
      <c r="O37" s="39"/>
      <c r="P37" s="42"/>
      <c r="Q37" s="43"/>
      <c r="R37" s="39">
        <v>1106.593</v>
      </c>
      <c r="S37" s="39"/>
      <c r="T37" s="39"/>
      <c r="U37" s="40"/>
      <c r="V37" s="41"/>
      <c r="W37" s="39">
        <v>343.22</v>
      </c>
      <c r="X37" s="39"/>
      <c r="Y37" s="39"/>
      <c r="Z37" s="42"/>
      <c r="AA37" s="43"/>
      <c r="AB37" s="39">
        <v>2511</v>
      </c>
      <c r="AC37" s="39"/>
      <c r="AD37" s="39"/>
      <c r="AE37" s="42"/>
      <c r="AF37" s="44">
        <f>400+370</f>
        <v>770</v>
      </c>
      <c r="AG37" s="45">
        <v>1350</v>
      </c>
    </row>
    <row r="38" spans="3:33" ht="24">
      <c r="C38" s="46" t="s">
        <v>104</v>
      </c>
      <c r="D38" s="48" t="s">
        <v>105</v>
      </c>
      <c r="E38" s="48" t="s">
        <v>106</v>
      </c>
      <c r="F38" s="49">
        <f>5.048+6.337</f>
        <v>11.385</v>
      </c>
      <c r="G38" s="38">
        <v>2</v>
      </c>
      <c r="H38" s="39">
        <f>5.047+6.336</f>
        <v>11.383</v>
      </c>
      <c r="I38" s="39">
        <f>5.533+8.14</f>
        <v>13.673000000000002</v>
      </c>
      <c r="J38" s="39"/>
      <c r="K38" s="40"/>
      <c r="L38" s="41"/>
      <c r="M38" s="39"/>
      <c r="N38" s="39"/>
      <c r="O38" s="39"/>
      <c r="P38" s="42"/>
      <c r="Q38" s="43"/>
      <c r="R38" s="39"/>
      <c r="S38" s="39"/>
      <c r="T38" s="39"/>
      <c r="U38" s="40"/>
      <c r="V38" s="41"/>
      <c r="W38" s="39"/>
      <c r="X38" s="39"/>
      <c r="Y38" s="39"/>
      <c r="Z38" s="42"/>
      <c r="AA38" s="43"/>
      <c r="AB38" s="39">
        <v>800</v>
      </c>
      <c r="AC38" s="39">
        <v>654.001</v>
      </c>
      <c r="AD38" s="39"/>
      <c r="AE38" s="42"/>
      <c r="AF38" s="44">
        <v>70</v>
      </c>
      <c r="AG38" s="45">
        <v>500</v>
      </c>
    </row>
    <row r="39" spans="3:33" ht="15">
      <c r="C39" s="46" t="s">
        <v>107</v>
      </c>
      <c r="D39" s="48" t="s">
        <v>108</v>
      </c>
      <c r="E39" s="48" t="s">
        <v>109</v>
      </c>
      <c r="F39" s="49">
        <v>10.9</v>
      </c>
      <c r="G39" s="38">
        <v>1</v>
      </c>
      <c r="H39" s="39"/>
      <c r="I39" s="39"/>
      <c r="J39" s="39"/>
      <c r="K39" s="40"/>
      <c r="L39" s="41"/>
      <c r="M39" s="39"/>
      <c r="N39" s="39"/>
      <c r="O39" s="39"/>
      <c r="P39" s="42"/>
      <c r="Q39" s="43"/>
      <c r="R39" s="39"/>
      <c r="S39" s="39"/>
      <c r="T39" s="39"/>
      <c r="U39" s="40"/>
      <c r="V39" s="41"/>
      <c r="W39" s="39"/>
      <c r="X39" s="39"/>
      <c r="Y39" s="39"/>
      <c r="Z39" s="42"/>
      <c r="AA39" s="43"/>
      <c r="AB39" s="39"/>
      <c r="AC39" s="39"/>
      <c r="AD39" s="39"/>
      <c r="AE39" s="42"/>
      <c r="AF39" s="44">
        <v>75</v>
      </c>
      <c r="AG39" s="45">
        <v>150</v>
      </c>
    </row>
    <row r="40" spans="3:33" ht="24">
      <c r="C40" s="46" t="s">
        <v>110</v>
      </c>
      <c r="D40" s="48" t="s">
        <v>111</v>
      </c>
      <c r="E40" s="48" t="s">
        <v>112</v>
      </c>
      <c r="F40" s="49">
        <f>9.379339+0.169</f>
        <v>9.548339</v>
      </c>
      <c r="G40" s="38">
        <v>2</v>
      </c>
      <c r="H40" s="39"/>
      <c r="I40" s="39"/>
      <c r="J40" s="39"/>
      <c r="K40" s="40"/>
      <c r="L40" s="41"/>
      <c r="M40" s="39"/>
      <c r="N40" s="39">
        <v>3.534</v>
      </c>
      <c r="O40" s="39"/>
      <c r="P40" s="42"/>
      <c r="Q40" s="43"/>
      <c r="R40" s="39"/>
      <c r="S40" s="39"/>
      <c r="T40" s="39"/>
      <c r="U40" s="40"/>
      <c r="V40" s="41"/>
      <c r="W40" s="39"/>
      <c r="X40" s="39"/>
      <c r="Y40" s="39"/>
      <c r="Z40" s="42"/>
      <c r="AA40" s="43"/>
      <c r="AB40" s="39"/>
      <c r="AC40" s="39"/>
      <c r="AD40" s="39"/>
      <c r="AE40" s="42"/>
      <c r="AF40" s="44">
        <v>210</v>
      </c>
      <c r="AG40" s="45">
        <v>550</v>
      </c>
    </row>
    <row r="41" spans="3:33" ht="15">
      <c r="C41" s="46" t="s">
        <v>113</v>
      </c>
      <c r="D41" s="48" t="s">
        <v>108</v>
      </c>
      <c r="E41" s="54" t="s">
        <v>114</v>
      </c>
      <c r="F41" s="49">
        <v>8.689395000000001</v>
      </c>
      <c r="G41" s="38">
        <v>1</v>
      </c>
      <c r="H41" s="39"/>
      <c r="I41" s="39"/>
      <c r="J41" s="39"/>
      <c r="K41" s="40"/>
      <c r="L41" s="41"/>
      <c r="M41" s="39"/>
      <c r="N41" s="39"/>
      <c r="O41" s="39"/>
      <c r="P41" s="42"/>
      <c r="Q41" s="43"/>
      <c r="R41" s="39"/>
      <c r="S41" s="39"/>
      <c r="T41" s="39"/>
      <c r="U41" s="40"/>
      <c r="V41" s="41"/>
      <c r="W41" s="39"/>
      <c r="X41" s="39"/>
      <c r="Y41" s="39"/>
      <c r="Z41" s="42"/>
      <c r="AA41" s="43"/>
      <c r="AB41" s="39"/>
      <c r="AC41" s="39"/>
      <c r="AD41" s="39"/>
      <c r="AE41" s="42"/>
      <c r="AF41" s="44"/>
      <c r="AG41" s="45"/>
    </row>
    <row r="42" spans="3:33" ht="15">
      <c r="C42" s="46" t="s">
        <v>115</v>
      </c>
      <c r="D42" s="48" t="s">
        <v>108</v>
      </c>
      <c r="E42" s="54" t="s">
        <v>116</v>
      </c>
      <c r="F42" s="49">
        <v>7.960148</v>
      </c>
      <c r="G42" s="38">
        <v>1</v>
      </c>
      <c r="H42" s="39"/>
      <c r="I42" s="39"/>
      <c r="J42" s="39"/>
      <c r="K42" s="40"/>
      <c r="L42" s="41"/>
      <c r="M42" s="39"/>
      <c r="N42" s="39"/>
      <c r="O42" s="39"/>
      <c r="P42" s="42"/>
      <c r="Q42" s="43"/>
      <c r="R42" s="39"/>
      <c r="S42" s="39"/>
      <c r="T42" s="39"/>
      <c r="U42" s="40"/>
      <c r="V42" s="41"/>
      <c r="W42" s="39"/>
      <c r="X42" s="39"/>
      <c r="Y42" s="39"/>
      <c r="Z42" s="42"/>
      <c r="AA42" s="43"/>
      <c r="AB42" s="39"/>
      <c r="AC42" s="39"/>
      <c r="AD42" s="39"/>
      <c r="AE42" s="42"/>
      <c r="AF42" s="44"/>
      <c r="AG42" s="45"/>
    </row>
    <row r="43" spans="3:33" ht="15">
      <c r="C43" s="46" t="s">
        <v>117</v>
      </c>
      <c r="D43" s="48" t="s">
        <v>68</v>
      </c>
      <c r="E43" s="48" t="s">
        <v>118</v>
      </c>
      <c r="F43" s="49">
        <v>7.35</v>
      </c>
      <c r="G43" s="38">
        <v>1</v>
      </c>
      <c r="H43" s="39"/>
      <c r="I43" s="39">
        <f>8.604</f>
        <v>8.604</v>
      </c>
      <c r="J43" s="39">
        <v>8.265</v>
      </c>
      <c r="K43" s="40">
        <v>7.35</v>
      </c>
      <c r="L43" s="41"/>
      <c r="M43" s="39"/>
      <c r="N43" s="39"/>
      <c r="O43" s="39"/>
      <c r="P43" s="42"/>
      <c r="Q43" s="43"/>
      <c r="R43" s="39">
        <v>169.998</v>
      </c>
      <c r="S43" s="39">
        <v>262.998</v>
      </c>
      <c r="T43" s="39">
        <v>367.997</v>
      </c>
      <c r="U43" s="40"/>
      <c r="V43" s="41"/>
      <c r="W43" s="39"/>
      <c r="X43" s="39"/>
      <c r="Y43" s="39"/>
      <c r="Z43" s="42"/>
      <c r="AA43" s="43"/>
      <c r="AB43" s="39">
        <v>541.999</v>
      </c>
      <c r="AC43" s="39">
        <v>734.014</v>
      </c>
      <c r="AD43" s="39">
        <v>386.998</v>
      </c>
      <c r="AE43" s="42"/>
      <c r="AF43" s="44">
        <v>60</v>
      </c>
      <c r="AG43" s="45">
        <v>250</v>
      </c>
    </row>
    <row r="44" spans="3:33" ht="15">
      <c r="C44" s="46" t="s">
        <v>119</v>
      </c>
      <c r="D44" s="48" t="s">
        <v>120</v>
      </c>
      <c r="E44" s="48" t="s">
        <v>121</v>
      </c>
      <c r="F44" s="49">
        <v>7.105104</v>
      </c>
      <c r="G44" s="38">
        <v>1</v>
      </c>
      <c r="H44" s="39"/>
      <c r="I44" s="39"/>
      <c r="J44" s="39"/>
      <c r="K44" s="40"/>
      <c r="L44" s="41"/>
      <c r="M44" s="39"/>
      <c r="N44" s="39"/>
      <c r="O44" s="39"/>
      <c r="P44" s="42"/>
      <c r="Q44" s="43"/>
      <c r="R44" s="39"/>
      <c r="S44" s="39"/>
      <c r="T44" s="39"/>
      <c r="U44" s="40"/>
      <c r="V44" s="41"/>
      <c r="W44" s="39"/>
      <c r="X44" s="39"/>
      <c r="Y44" s="39"/>
      <c r="Z44" s="42"/>
      <c r="AA44" s="43"/>
      <c r="AB44" s="39"/>
      <c r="AC44" s="39"/>
      <c r="AD44" s="39"/>
      <c r="AE44" s="42"/>
      <c r="AF44" s="44">
        <f>175+40</f>
        <v>215</v>
      </c>
      <c r="AG44" s="45">
        <v>550</v>
      </c>
    </row>
    <row r="45" spans="3:33" ht="15">
      <c r="C45" s="46" t="s">
        <v>122</v>
      </c>
      <c r="D45" s="48" t="s">
        <v>108</v>
      </c>
      <c r="E45" s="54" t="s">
        <v>123</v>
      </c>
      <c r="F45" s="49">
        <v>6.858303</v>
      </c>
      <c r="G45" s="38">
        <v>1</v>
      </c>
      <c r="H45" s="39"/>
      <c r="I45" s="39"/>
      <c r="J45" s="39"/>
      <c r="K45" s="40"/>
      <c r="L45" s="41"/>
      <c r="M45" s="39"/>
      <c r="N45" s="39"/>
      <c r="O45" s="39"/>
      <c r="P45" s="42"/>
      <c r="Q45" s="43"/>
      <c r="R45" s="39"/>
      <c r="S45" s="39"/>
      <c r="T45" s="39"/>
      <c r="U45" s="40"/>
      <c r="V45" s="41"/>
      <c r="W45" s="39"/>
      <c r="X45" s="39"/>
      <c r="Y45" s="39"/>
      <c r="Z45" s="42"/>
      <c r="AA45" s="43"/>
      <c r="AB45" s="39"/>
      <c r="AC45" s="39"/>
      <c r="AD45" s="39"/>
      <c r="AE45" s="42"/>
      <c r="AF45" s="44"/>
      <c r="AG45" s="45"/>
    </row>
    <row r="46" spans="3:33" ht="15">
      <c r="C46" s="46" t="s">
        <v>124</v>
      </c>
      <c r="D46" s="48" t="s">
        <v>108</v>
      </c>
      <c r="E46" s="48" t="s">
        <v>125</v>
      </c>
      <c r="F46" s="49">
        <v>6.5</v>
      </c>
      <c r="G46" s="38">
        <v>1</v>
      </c>
      <c r="H46" s="39"/>
      <c r="I46" s="39"/>
      <c r="J46" s="39"/>
      <c r="K46" s="40"/>
      <c r="L46" s="41"/>
      <c r="M46" s="39"/>
      <c r="N46" s="39"/>
      <c r="O46" s="39"/>
      <c r="P46" s="42"/>
      <c r="Q46" s="43"/>
      <c r="R46" s="39"/>
      <c r="S46" s="39"/>
      <c r="T46" s="39"/>
      <c r="U46" s="40"/>
      <c r="V46" s="41"/>
      <c r="W46" s="39"/>
      <c r="X46" s="39"/>
      <c r="Y46" s="39"/>
      <c r="Z46" s="42"/>
      <c r="AA46" s="43"/>
      <c r="AB46" s="39"/>
      <c r="AC46" s="39"/>
      <c r="AD46" s="39"/>
      <c r="AE46" s="42"/>
      <c r="AF46" s="44">
        <v>70</v>
      </c>
      <c r="AG46" s="45">
        <v>300</v>
      </c>
    </row>
    <row r="47" spans="3:33" ht="15">
      <c r="C47" s="46" t="s">
        <v>126</v>
      </c>
      <c r="D47" s="48" t="s">
        <v>108</v>
      </c>
      <c r="E47" s="54" t="s">
        <v>127</v>
      </c>
      <c r="F47" s="49">
        <v>6.334838</v>
      </c>
      <c r="G47" s="38">
        <v>1</v>
      </c>
      <c r="H47" s="39"/>
      <c r="I47" s="39"/>
      <c r="J47" s="39"/>
      <c r="K47" s="40"/>
      <c r="L47" s="41"/>
      <c r="M47" s="39"/>
      <c r="N47" s="39"/>
      <c r="O47" s="39"/>
      <c r="P47" s="42"/>
      <c r="Q47" s="43"/>
      <c r="R47" s="39"/>
      <c r="S47" s="39"/>
      <c r="T47" s="39"/>
      <c r="U47" s="40"/>
      <c r="V47" s="41"/>
      <c r="W47" s="39"/>
      <c r="X47" s="39"/>
      <c r="Y47" s="39"/>
      <c r="Z47" s="42"/>
      <c r="AA47" s="43"/>
      <c r="AB47" s="39"/>
      <c r="AC47" s="39"/>
      <c r="AD47" s="39"/>
      <c r="AE47" s="42"/>
      <c r="AF47" s="44"/>
      <c r="AG47" s="45"/>
    </row>
    <row r="48" spans="3:33" ht="15">
      <c r="C48" s="46" t="s">
        <v>128</v>
      </c>
      <c r="D48" s="48" t="s">
        <v>129</v>
      </c>
      <c r="E48" s="48" t="s">
        <v>130</v>
      </c>
      <c r="F48" s="49">
        <v>5.627343</v>
      </c>
      <c r="G48" s="38">
        <v>1</v>
      </c>
      <c r="H48" s="39">
        <v>5.726</v>
      </c>
      <c r="I48" s="39">
        <v>6.385</v>
      </c>
      <c r="J48" s="39">
        <f>1.721+3.729</f>
        <v>5.45</v>
      </c>
      <c r="K48" s="40"/>
      <c r="L48" s="41"/>
      <c r="M48" s="39">
        <v>34.829</v>
      </c>
      <c r="N48" s="39"/>
      <c r="O48" s="39">
        <v>35.612</v>
      </c>
      <c r="P48" s="42"/>
      <c r="Q48" s="43"/>
      <c r="R48" s="39"/>
      <c r="S48" s="39"/>
      <c r="T48" s="39"/>
      <c r="U48" s="40"/>
      <c r="V48" s="41"/>
      <c r="W48" s="39"/>
      <c r="X48" s="39"/>
      <c r="Y48" s="39"/>
      <c r="Z48" s="42"/>
      <c r="AA48" s="43"/>
      <c r="AB48" s="39"/>
      <c r="AC48" s="39"/>
      <c r="AD48" s="39"/>
      <c r="AE48" s="42"/>
      <c r="AF48" s="44">
        <v>80</v>
      </c>
      <c r="AG48" s="45">
        <v>300</v>
      </c>
    </row>
    <row r="49" spans="3:33" ht="15">
      <c r="C49" s="46" t="s">
        <v>131</v>
      </c>
      <c r="D49" s="48" t="s">
        <v>132</v>
      </c>
      <c r="E49" s="48" t="s">
        <v>133</v>
      </c>
      <c r="F49" s="49">
        <v>5.34</v>
      </c>
      <c r="G49" s="38">
        <v>1</v>
      </c>
      <c r="H49" s="39"/>
      <c r="I49" s="39"/>
      <c r="J49" s="39"/>
      <c r="K49" s="40"/>
      <c r="L49" s="41"/>
      <c r="M49" s="39"/>
      <c r="N49" s="39"/>
      <c r="O49" s="39"/>
      <c r="P49" s="42"/>
      <c r="Q49" s="43"/>
      <c r="R49" s="39"/>
      <c r="S49" s="39"/>
      <c r="T49" s="39"/>
      <c r="U49" s="40"/>
      <c r="V49" s="41"/>
      <c r="W49" s="39"/>
      <c r="X49" s="39"/>
      <c r="Y49" s="39"/>
      <c r="Z49" s="42"/>
      <c r="AA49" s="43"/>
      <c r="AB49" s="39"/>
      <c r="AC49" s="39"/>
      <c r="AD49" s="39"/>
      <c r="AE49" s="42"/>
      <c r="AF49" s="44">
        <v>200</v>
      </c>
      <c r="AG49" s="45">
        <v>500</v>
      </c>
    </row>
    <row r="50" spans="3:33" ht="15">
      <c r="C50" s="46" t="s">
        <v>134</v>
      </c>
      <c r="D50" s="48" t="s">
        <v>108</v>
      </c>
      <c r="E50" s="48" t="s">
        <v>135</v>
      </c>
      <c r="F50" s="49">
        <v>5.259537</v>
      </c>
      <c r="G50" s="38">
        <v>1</v>
      </c>
      <c r="H50" s="39"/>
      <c r="I50" s="39"/>
      <c r="J50" s="39"/>
      <c r="K50" s="40"/>
      <c r="L50" s="41"/>
      <c r="M50" s="39"/>
      <c r="N50" s="39"/>
      <c r="O50" s="39"/>
      <c r="P50" s="42"/>
      <c r="Q50" s="43"/>
      <c r="R50" s="39"/>
      <c r="S50" s="39"/>
      <c r="T50" s="39"/>
      <c r="U50" s="40"/>
      <c r="V50" s="41"/>
      <c r="W50" s="39"/>
      <c r="X50" s="39"/>
      <c r="Y50" s="39"/>
      <c r="Z50" s="42"/>
      <c r="AA50" s="43"/>
      <c r="AB50" s="39"/>
      <c r="AC50" s="39"/>
      <c r="AD50" s="39"/>
      <c r="AE50" s="42"/>
      <c r="AF50" s="44">
        <f>100+60</f>
        <v>160</v>
      </c>
      <c r="AG50" s="45">
        <v>500</v>
      </c>
    </row>
    <row r="51" spans="3:33" ht="15">
      <c r="C51" s="46" t="s">
        <v>136</v>
      </c>
      <c r="D51" s="48" t="s">
        <v>82</v>
      </c>
      <c r="E51" s="48" t="s">
        <v>137</v>
      </c>
      <c r="F51" s="49">
        <v>4.340997</v>
      </c>
      <c r="G51" s="38">
        <v>1</v>
      </c>
      <c r="H51" s="39">
        <v>4.536</v>
      </c>
      <c r="I51" s="39"/>
      <c r="J51" s="39"/>
      <c r="K51" s="40"/>
      <c r="L51" s="41"/>
      <c r="M51" s="39"/>
      <c r="N51" s="39"/>
      <c r="O51" s="39"/>
      <c r="P51" s="42"/>
      <c r="Q51" s="43"/>
      <c r="R51" s="39"/>
      <c r="S51" s="39"/>
      <c r="T51" s="39"/>
      <c r="U51" s="40"/>
      <c r="V51" s="41"/>
      <c r="W51" s="39"/>
      <c r="X51" s="39"/>
      <c r="Y51" s="39"/>
      <c r="Z51" s="42"/>
      <c r="AA51" s="43"/>
      <c r="AB51" s="39">
        <v>217</v>
      </c>
      <c r="AC51" s="39"/>
      <c r="AD51" s="39"/>
      <c r="AE51" s="42"/>
      <c r="AF51" s="44">
        <v>60</v>
      </c>
      <c r="AG51" s="45">
        <v>280</v>
      </c>
    </row>
    <row r="52" spans="3:33" ht="15">
      <c r="C52" s="46" t="s">
        <v>138</v>
      </c>
      <c r="D52" s="48" t="s">
        <v>108</v>
      </c>
      <c r="E52" s="48" t="s">
        <v>139</v>
      </c>
      <c r="F52" s="49">
        <v>3.728988</v>
      </c>
      <c r="G52" s="38">
        <v>1</v>
      </c>
      <c r="H52" s="39"/>
      <c r="I52" s="39"/>
      <c r="J52" s="39"/>
      <c r="K52" s="40"/>
      <c r="L52" s="41"/>
      <c r="M52" s="39"/>
      <c r="N52" s="39"/>
      <c r="O52" s="39"/>
      <c r="P52" s="42"/>
      <c r="Q52" s="43"/>
      <c r="R52" s="39"/>
      <c r="S52" s="39"/>
      <c r="T52" s="39"/>
      <c r="U52" s="40"/>
      <c r="V52" s="41"/>
      <c r="W52" s="39"/>
      <c r="X52" s="39"/>
      <c r="Y52" s="39"/>
      <c r="Z52" s="42"/>
      <c r="AA52" s="43"/>
      <c r="AB52" s="39"/>
      <c r="AC52" s="39"/>
      <c r="AD52" s="39"/>
      <c r="AE52" s="42"/>
      <c r="AF52" s="44">
        <v>0</v>
      </c>
      <c r="AG52" s="45">
        <v>360</v>
      </c>
    </row>
    <row r="53" spans="3:33" ht="15">
      <c r="C53" s="46" t="s">
        <v>140</v>
      </c>
      <c r="D53" s="48" t="s">
        <v>108</v>
      </c>
      <c r="E53" s="48" t="s">
        <v>141</v>
      </c>
      <c r="F53" s="49">
        <v>3.698989</v>
      </c>
      <c r="G53" s="38">
        <v>1</v>
      </c>
      <c r="H53" s="39"/>
      <c r="I53" s="39"/>
      <c r="J53" s="39"/>
      <c r="K53" s="40"/>
      <c r="L53" s="41"/>
      <c r="M53" s="39"/>
      <c r="N53" s="39"/>
      <c r="O53" s="39"/>
      <c r="P53" s="42"/>
      <c r="Q53" s="43"/>
      <c r="R53" s="39"/>
      <c r="S53" s="39"/>
      <c r="T53" s="39"/>
      <c r="U53" s="40"/>
      <c r="V53" s="41"/>
      <c r="W53" s="39"/>
      <c r="X53" s="39"/>
      <c r="Y53" s="39"/>
      <c r="Z53" s="42"/>
      <c r="AA53" s="43"/>
      <c r="AB53" s="39"/>
      <c r="AC53" s="39"/>
      <c r="AD53" s="39"/>
      <c r="AE53" s="42"/>
      <c r="AF53" s="44">
        <v>0</v>
      </c>
      <c r="AG53" s="45">
        <f>AG52</f>
        <v>360</v>
      </c>
    </row>
    <row r="54" spans="3:33" ht="15">
      <c r="C54" s="46" t="s">
        <v>142</v>
      </c>
      <c r="D54" s="48" t="s">
        <v>108</v>
      </c>
      <c r="E54" s="54" t="s">
        <v>143</v>
      </c>
      <c r="F54" s="49">
        <v>3.3197750000000004</v>
      </c>
      <c r="G54" s="38">
        <v>1</v>
      </c>
      <c r="H54" s="39"/>
      <c r="I54" s="39"/>
      <c r="J54" s="39"/>
      <c r="K54" s="40"/>
      <c r="L54" s="41"/>
      <c r="M54" s="39"/>
      <c r="N54" s="39"/>
      <c r="O54" s="39"/>
      <c r="P54" s="42"/>
      <c r="Q54" s="43"/>
      <c r="R54" s="39"/>
      <c r="S54" s="39"/>
      <c r="T54" s="39"/>
      <c r="U54" s="40"/>
      <c r="V54" s="41"/>
      <c r="W54" s="39"/>
      <c r="X54" s="39"/>
      <c r="Y54" s="39"/>
      <c r="Z54" s="42"/>
      <c r="AA54" s="43"/>
      <c r="AB54" s="39"/>
      <c r="AC54" s="39"/>
      <c r="AD54" s="39"/>
      <c r="AE54" s="42"/>
      <c r="AF54" s="44"/>
      <c r="AG54" s="45"/>
    </row>
    <row r="55" spans="3:33" ht="15">
      <c r="C55" s="46" t="s">
        <v>144</v>
      </c>
      <c r="D55" s="48" t="s">
        <v>108</v>
      </c>
      <c r="E55" s="54" t="s">
        <v>145</v>
      </c>
      <c r="F55" s="49">
        <v>3.108053</v>
      </c>
      <c r="G55" s="38">
        <v>1</v>
      </c>
      <c r="H55" s="39"/>
      <c r="I55" s="39"/>
      <c r="J55" s="39"/>
      <c r="K55" s="40"/>
      <c r="L55" s="41"/>
      <c r="M55" s="39"/>
      <c r="N55" s="39"/>
      <c r="O55" s="39"/>
      <c r="P55" s="42"/>
      <c r="Q55" s="43"/>
      <c r="R55" s="39"/>
      <c r="S55" s="39"/>
      <c r="T55" s="39"/>
      <c r="U55" s="40"/>
      <c r="V55" s="41"/>
      <c r="W55" s="39"/>
      <c r="X55" s="39"/>
      <c r="Y55" s="39"/>
      <c r="Z55" s="42"/>
      <c r="AA55" s="43"/>
      <c r="AB55" s="39"/>
      <c r="AC55" s="39"/>
      <c r="AD55" s="39"/>
      <c r="AE55" s="42"/>
      <c r="AF55" s="44"/>
      <c r="AG55" s="45"/>
    </row>
    <row r="56" spans="3:33" ht="15">
      <c r="C56" s="46" t="s">
        <v>146</v>
      </c>
      <c r="D56" s="48" t="s">
        <v>147</v>
      </c>
      <c r="E56" s="48" t="s">
        <v>148</v>
      </c>
      <c r="F56" s="49">
        <v>2.38024</v>
      </c>
      <c r="G56" s="38">
        <v>1</v>
      </c>
      <c r="H56" s="39">
        <v>3.424</v>
      </c>
      <c r="I56" s="39"/>
      <c r="J56" s="39"/>
      <c r="K56" s="40"/>
      <c r="L56" s="41"/>
      <c r="M56" s="39"/>
      <c r="N56" s="39"/>
      <c r="O56" s="39"/>
      <c r="P56" s="42"/>
      <c r="Q56" s="43"/>
      <c r="R56" s="39">
        <v>80.669</v>
      </c>
      <c r="S56" s="39"/>
      <c r="T56" s="39"/>
      <c r="U56" s="40"/>
      <c r="V56" s="41"/>
      <c r="W56" s="39"/>
      <c r="X56" s="39"/>
      <c r="Y56" s="39"/>
      <c r="Z56" s="42"/>
      <c r="AA56" s="43"/>
      <c r="AB56" s="39">
        <v>149.645</v>
      </c>
      <c r="AC56" s="39"/>
      <c r="AD56" s="39"/>
      <c r="AE56" s="42"/>
      <c r="AF56" s="44">
        <v>100</v>
      </c>
      <c r="AG56" s="45">
        <v>210</v>
      </c>
    </row>
    <row r="57" spans="3:33" ht="15">
      <c r="C57" s="46" t="s">
        <v>149</v>
      </c>
      <c r="D57" s="48" t="s">
        <v>108</v>
      </c>
      <c r="E57" s="54" t="s">
        <v>150</v>
      </c>
      <c r="F57" s="49">
        <v>1.770426</v>
      </c>
      <c r="G57" s="38">
        <v>1</v>
      </c>
      <c r="H57" s="39"/>
      <c r="I57" s="39"/>
      <c r="J57" s="39"/>
      <c r="K57" s="40"/>
      <c r="L57" s="41"/>
      <c r="M57" s="39"/>
      <c r="N57" s="39"/>
      <c r="O57" s="39"/>
      <c r="P57" s="42"/>
      <c r="Q57" s="43"/>
      <c r="R57" s="39"/>
      <c r="S57" s="39"/>
      <c r="T57" s="39"/>
      <c r="U57" s="40"/>
      <c r="V57" s="41"/>
      <c r="W57" s="39"/>
      <c r="X57" s="39"/>
      <c r="Y57" s="39"/>
      <c r="Z57" s="42"/>
      <c r="AA57" s="43"/>
      <c r="AB57" s="39"/>
      <c r="AC57" s="39"/>
      <c r="AD57" s="39"/>
      <c r="AE57" s="42"/>
      <c r="AF57" s="44"/>
      <c r="AG57" s="45"/>
    </row>
    <row r="58" spans="3:33" ht="15">
      <c r="C58" s="46" t="s">
        <v>151</v>
      </c>
      <c r="D58" s="48" t="s">
        <v>108</v>
      </c>
      <c r="E58" s="54" t="s">
        <v>152</v>
      </c>
      <c r="F58" s="49">
        <v>1.729605</v>
      </c>
      <c r="G58" s="38">
        <v>1</v>
      </c>
      <c r="H58" s="39"/>
      <c r="I58" s="39"/>
      <c r="J58" s="39"/>
      <c r="K58" s="40"/>
      <c r="L58" s="41"/>
      <c r="M58" s="39"/>
      <c r="N58" s="39"/>
      <c r="O58" s="39"/>
      <c r="P58" s="42"/>
      <c r="Q58" s="43"/>
      <c r="R58" s="39"/>
      <c r="S58" s="39"/>
      <c r="T58" s="39"/>
      <c r="U58" s="40"/>
      <c r="V58" s="41"/>
      <c r="W58" s="39"/>
      <c r="X58" s="39"/>
      <c r="Y58" s="39"/>
      <c r="Z58" s="42"/>
      <c r="AA58" s="43"/>
      <c r="AB58" s="39"/>
      <c r="AC58" s="39"/>
      <c r="AD58" s="39"/>
      <c r="AE58" s="42"/>
      <c r="AF58" s="44"/>
      <c r="AG58" s="45"/>
    </row>
    <row r="59" spans="3:33" ht="24">
      <c r="C59" s="46" t="s">
        <v>153</v>
      </c>
      <c r="D59" s="48" t="s">
        <v>132</v>
      </c>
      <c r="E59" s="48" t="s">
        <v>154</v>
      </c>
      <c r="F59" s="49">
        <v>1.708433</v>
      </c>
      <c r="G59" s="38">
        <v>2</v>
      </c>
      <c r="H59" s="39"/>
      <c r="I59" s="39"/>
      <c r="J59" s="39"/>
      <c r="K59" s="40"/>
      <c r="L59" s="41"/>
      <c r="M59" s="39"/>
      <c r="N59" s="39"/>
      <c r="O59" s="39"/>
      <c r="P59" s="42"/>
      <c r="Q59" s="43"/>
      <c r="R59" s="39"/>
      <c r="S59" s="39"/>
      <c r="T59" s="39"/>
      <c r="U59" s="40"/>
      <c r="V59" s="41"/>
      <c r="W59" s="39"/>
      <c r="X59" s="39"/>
      <c r="Y59" s="39"/>
      <c r="Z59" s="42"/>
      <c r="AA59" s="43"/>
      <c r="AB59" s="39"/>
      <c r="AC59" s="39"/>
      <c r="AD59" s="39"/>
      <c r="AE59" s="42"/>
      <c r="AF59" s="44">
        <f>70+30</f>
        <v>100</v>
      </c>
      <c r="AG59" s="45">
        <f>280+200</f>
        <v>480</v>
      </c>
    </row>
    <row r="60" spans="3:33" ht="15">
      <c r="C60" s="46" t="s">
        <v>155</v>
      </c>
      <c r="D60" s="48" t="s">
        <v>82</v>
      </c>
      <c r="E60" s="48" t="s">
        <v>156</v>
      </c>
      <c r="F60" s="49">
        <v>1.578</v>
      </c>
      <c r="G60" s="38">
        <v>1</v>
      </c>
      <c r="H60" s="39"/>
      <c r="I60" s="39"/>
      <c r="J60" s="39"/>
      <c r="K60" s="40"/>
      <c r="L60" s="41"/>
      <c r="M60" s="39"/>
      <c r="N60" s="39"/>
      <c r="O60" s="39"/>
      <c r="P60" s="42"/>
      <c r="Q60" s="43"/>
      <c r="R60" s="39"/>
      <c r="S60" s="39"/>
      <c r="T60" s="39"/>
      <c r="U60" s="40"/>
      <c r="V60" s="41"/>
      <c r="W60" s="39"/>
      <c r="X60" s="39"/>
      <c r="Y60" s="39"/>
      <c r="Z60" s="42"/>
      <c r="AA60" s="43"/>
      <c r="AB60" s="39"/>
      <c r="AC60" s="39"/>
      <c r="AD60" s="39"/>
      <c r="AE60" s="42"/>
      <c r="AF60" s="44">
        <v>70</v>
      </c>
      <c r="AG60" s="45">
        <v>170</v>
      </c>
    </row>
    <row r="61" spans="3:33" ht="15">
      <c r="C61" s="46" t="s">
        <v>157</v>
      </c>
      <c r="D61" s="48" t="s">
        <v>108</v>
      </c>
      <c r="E61" s="48" t="s">
        <v>158</v>
      </c>
      <c r="F61" s="49">
        <v>1.165252</v>
      </c>
      <c r="G61" s="38">
        <v>1</v>
      </c>
      <c r="H61" s="39"/>
      <c r="I61" s="39"/>
      <c r="J61" s="39"/>
      <c r="K61" s="40"/>
      <c r="L61" s="41"/>
      <c r="M61" s="39"/>
      <c r="N61" s="39"/>
      <c r="O61" s="39"/>
      <c r="P61" s="42"/>
      <c r="Q61" s="43"/>
      <c r="R61" s="39"/>
      <c r="S61" s="39"/>
      <c r="T61" s="39"/>
      <c r="U61" s="40"/>
      <c r="V61" s="41"/>
      <c r="W61" s="39"/>
      <c r="X61" s="39"/>
      <c r="Y61" s="39"/>
      <c r="Z61" s="42"/>
      <c r="AA61" s="43"/>
      <c r="AB61" s="39"/>
      <c r="AC61" s="39"/>
      <c r="AD61" s="39"/>
      <c r="AE61" s="42"/>
      <c r="AF61" s="44">
        <v>95</v>
      </c>
      <c r="AG61" s="45">
        <v>420</v>
      </c>
    </row>
    <row r="62" spans="3:33" ht="15">
      <c r="C62" s="46" t="s">
        <v>159</v>
      </c>
      <c r="D62" s="48" t="s">
        <v>108</v>
      </c>
      <c r="E62" s="48" t="s">
        <v>160</v>
      </c>
      <c r="F62" s="49">
        <v>0.912076</v>
      </c>
      <c r="G62" s="38">
        <v>1</v>
      </c>
      <c r="H62" s="39"/>
      <c r="I62" s="39"/>
      <c r="J62" s="39"/>
      <c r="K62" s="40"/>
      <c r="L62" s="41"/>
      <c r="M62" s="39"/>
      <c r="N62" s="39"/>
      <c r="O62" s="39"/>
      <c r="P62" s="42"/>
      <c r="Q62" s="43"/>
      <c r="R62" s="39"/>
      <c r="S62" s="39"/>
      <c r="T62" s="39"/>
      <c r="U62" s="40"/>
      <c r="V62" s="41"/>
      <c r="W62" s="39"/>
      <c r="X62" s="39"/>
      <c r="Y62" s="39"/>
      <c r="Z62" s="42"/>
      <c r="AA62" s="43"/>
      <c r="AB62" s="39"/>
      <c r="AC62" s="39"/>
      <c r="AD62" s="39"/>
      <c r="AE62" s="42"/>
      <c r="AF62" s="44">
        <v>0</v>
      </c>
      <c r="AG62" s="45">
        <v>250</v>
      </c>
    </row>
    <row r="63" spans="3:33" ht="15">
      <c r="C63" s="46" t="s">
        <v>161</v>
      </c>
      <c r="D63" s="48" t="s">
        <v>108</v>
      </c>
      <c r="E63" s="54" t="s">
        <v>162</v>
      </c>
      <c r="F63" s="49">
        <v>0.888921</v>
      </c>
      <c r="G63" s="38">
        <v>1</v>
      </c>
      <c r="H63" s="39"/>
      <c r="I63" s="39"/>
      <c r="J63" s="39"/>
      <c r="K63" s="40"/>
      <c r="L63" s="41"/>
      <c r="M63" s="39"/>
      <c r="N63" s="39"/>
      <c r="O63" s="39"/>
      <c r="P63" s="42"/>
      <c r="Q63" s="43"/>
      <c r="R63" s="39"/>
      <c r="S63" s="39"/>
      <c r="T63" s="39"/>
      <c r="U63" s="40"/>
      <c r="V63" s="41"/>
      <c r="W63" s="39"/>
      <c r="X63" s="39"/>
      <c r="Y63" s="39"/>
      <c r="Z63" s="42"/>
      <c r="AA63" s="43"/>
      <c r="AB63" s="39"/>
      <c r="AC63" s="39"/>
      <c r="AD63" s="39"/>
      <c r="AE63" s="42"/>
      <c r="AF63" s="44"/>
      <c r="AG63" s="45"/>
    </row>
    <row r="64" spans="3:33" ht="15">
      <c r="C64" s="46" t="s">
        <v>163</v>
      </c>
      <c r="D64" s="48" t="s">
        <v>108</v>
      </c>
      <c r="E64" s="54" t="s">
        <v>164</v>
      </c>
      <c r="F64" s="49">
        <v>0.79036</v>
      </c>
      <c r="G64" s="38">
        <v>1</v>
      </c>
      <c r="H64" s="39"/>
      <c r="I64" s="39"/>
      <c r="J64" s="39"/>
      <c r="K64" s="40"/>
      <c r="L64" s="41"/>
      <c r="M64" s="39"/>
      <c r="N64" s="39"/>
      <c r="O64" s="39"/>
      <c r="P64" s="42"/>
      <c r="Q64" s="43"/>
      <c r="R64" s="39"/>
      <c r="S64" s="39"/>
      <c r="T64" s="39"/>
      <c r="U64" s="40"/>
      <c r="V64" s="41"/>
      <c r="W64" s="39"/>
      <c r="X64" s="39"/>
      <c r="Y64" s="39"/>
      <c r="Z64" s="42"/>
      <c r="AA64" s="43"/>
      <c r="AB64" s="39"/>
      <c r="AC64" s="39"/>
      <c r="AD64" s="39"/>
      <c r="AE64" s="42"/>
      <c r="AF64" s="44"/>
      <c r="AG64" s="45"/>
    </row>
    <row r="65" spans="3:33" ht="15">
      <c r="C65" s="46" t="s">
        <v>165</v>
      </c>
      <c r="D65" s="48" t="s">
        <v>108</v>
      </c>
      <c r="E65" s="54" t="s">
        <v>166</v>
      </c>
      <c r="F65" s="49">
        <v>0.596</v>
      </c>
      <c r="G65" s="38">
        <v>1</v>
      </c>
      <c r="H65" s="39"/>
      <c r="I65" s="39"/>
      <c r="J65" s="39"/>
      <c r="K65" s="40"/>
      <c r="L65" s="41"/>
      <c r="M65" s="39"/>
      <c r="N65" s="39"/>
      <c r="O65" s="39"/>
      <c r="P65" s="42"/>
      <c r="Q65" s="43"/>
      <c r="R65" s="39"/>
      <c r="S65" s="39"/>
      <c r="T65" s="39"/>
      <c r="U65" s="40"/>
      <c r="V65" s="41"/>
      <c r="W65" s="39"/>
      <c r="X65" s="39"/>
      <c r="Y65" s="39"/>
      <c r="Z65" s="42"/>
      <c r="AA65" s="43"/>
      <c r="AB65" s="39"/>
      <c r="AC65" s="39"/>
      <c r="AD65" s="39"/>
      <c r="AE65" s="42"/>
      <c r="AF65" s="44"/>
      <c r="AG65" s="45"/>
    </row>
    <row r="66" spans="3:33" ht="15">
      <c r="C66" s="46" t="s">
        <v>167</v>
      </c>
      <c r="D66" s="48" t="s">
        <v>108</v>
      </c>
      <c r="E66" s="54" t="s">
        <v>168</v>
      </c>
      <c r="F66" s="49">
        <v>0.399698</v>
      </c>
      <c r="G66" s="38">
        <v>1</v>
      </c>
      <c r="H66" s="39"/>
      <c r="I66" s="39"/>
      <c r="J66" s="39"/>
      <c r="K66" s="40"/>
      <c r="L66" s="41"/>
      <c r="M66" s="39"/>
      <c r="N66" s="39"/>
      <c r="O66" s="39"/>
      <c r="P66" s="42"/>
      <c r="Q66" s="43"/>
      <c r="R66" s="39"/>
      <c r="S66" s="39"/>
      <c r="T66" s="39"/>
      <c r="U66" s="40"/>
      <c r="V66" s="41"/>
      <c r="W66" s="39"/>
      <c r="X66" s="39"/>
      <c r="Y66" s="39"/>
      <c r="Z66" s="42"/>
      <c r="AA66" s="43"/>
      <c r="AB66" s="39"/>
      <c r="AC66" s="39"/>
      <c r="AD66" s="39"/>
      <c r="AE66" s="42"/>
      <c r="AF66" s="44"/>
      <c r="AG66" s="45"/>
    </row>
    <row r="67" spans="3:33" ht="15">
      <c r="C67" s="46" t="s">
        <v>169</v>
      </c>
      <c r="D67" s="48" t="s">
        <v>108</v>
      </c>
      <c r="E67" s="54" t="s">
        <v>170</v>
      </c>
      <c r="F67" s="49">
        <v>0.35894899999999996</v>
      </c>
      <c r="G67" s="38">
        <v>1</v>
      </c>
      <c r="H67" s="39"/>
      <c r="I67" s="39"/>
      <c r="J67" s="39"/>
      <c r="K67" s="40"/>
      <c r="L67" s="41"/>
      <c r="M67" s="39"/>
      <c r="N67" s="39"/>
      <c r="O67" s="39"/>
      <c r="P67" s="42"/>
      <c r="Q67" s="43"/>
      <c r="R67" s="39"/>
      <c r="S67" s="39"/>
      <c r="T67" s="39"/>
      <c r="U67" s="40"/>
      <c r="V67" s="41"/>
      <c r="W67" s="39"/>
      <c r="X67" s="39"/>
      <c r="Y67" s="39"/>
      <c r="Z67" s="42"/>
      <c r="AA67" s="43"/>
      <c r="AB67" s="39"/>
      <c r="AC67" s="39"/>
      <c r="AD67" s="39"/>
      <c r="AE67" s="42"/>
      <c r="AF67" s="44"/>
      <c r="AG67" s="45"/>
    </row>
    <row r="68" spans="3:33" ht="15">
      <c r="C68" s="46" t="s">
        <v>171</v>
      </c>
      <c r="D68" s="48" t="s">
        <v>108</v>
      </c>
      <c r="E68" s="48" t="s">
        <v>172</v>
      </c>
      <c r="F68" s="49">
        <v>0.310977</v>
      </c>
      <c r="G68" s="38">
        <v>1</v>
      </c>
      <c r="H68" s="39"/>
      <c r="I68" s="39"/>
      <c r="J68" s="39"/>
      <c r="K68" s="40"/>
      <c r="L68" s="41"/>
      <c r="M68" s="39"/>
      <c r="N68" s="39"/>
      <c r="O68" s="39"/>
      <c r="P68" s="42"/>
      <c r="Q68" s="43"/>
      <c r="R68" s="39"/>
      <c r="S68" s="39"/>
      <c r="T68" s="39"/>
      <c r="U68" s="40"/>
      <c r="V68" s="41"/>
      <c r="W68" s="39"/>
      <c r="X68" s="39"/>
      <c r="Y68" s="39"/>
      <c r="Z68" s="42"/>
      <c r="AA68" s="43"/>
      <c r="AB68" s="39"/>
      <c r="AC68" s="39"/>
      <c r="AD68" s="39"/>
      <c r="AE68" s="42"/>
      <c r="AF68" s="44">
        <v>0</v>
      </c>
      <c r="AG68" s="45">
        <v>175</v>
      </c>
    </row>
    <row r="69" spans="3:33" ht="15">
      <c r="C69" s="46" t="s">
        <v>173</v>
      </c>
      <c r="D69" s="48" t="s">
        <v>44</v>
      </c>
      <c r="E69" s="58" t="s">
        <v>174</v>
      </c>
      <c r="F69" s="49">
        <v>0.298702</v>
      </c>
      <c r="G69" s="38">
        <v>1</v>
      </c>
      <c r="H69" s="39"/>
      <c r="I69" s="39"/>
      <c r="J69" s="39"/>
      <c r="K69" s="40"/>
      <c r="L69" s="41"/>
      <c r="M69" s="39"/>
      <c r="N69" s="39"/>
      <c r="O69" s="39"/>
      <c r="P69" s="42"/>
      <c r="Q69" s="43"/>
      <c r="R69" s="39"/>
      <c r="S69" s="39"/>
      <c r="T69" s="39"/>
      <c r="U69" s="40"/>
      <c r="V69" s="41"/>
      <c r="W69" s="39"/>
      <c r="X69" s="39"/>
      <c r="Y69" s="39"/>
      <c r="Z69" s="42"/>
      <c r="AA69" s="43"/>
      <c r="AB69" s="39"/>
      <c r="AC69" s="39"/>
      <c r="AD69" s="39"/>
      <c r="AE69" s="42"/>
      <c r="AF69" s="44"/>
      <c r="AG69" s="45"/>
    </row>
    <row r="70" spans="3:33" ht="15">
      <c r="C70" s="46" t="s">
        <v>175</v>
      </c>
      <c r="D70" s="48" t="s">
        <v>108</v>
      </c>
      <c r="E70" s="54" t="s">
        <v>176</v>
      </c>
      <c r="F70" s="49">
        <v>0.256</v>
      </c>
      <c r="G70" s="38">
        <v>1</v>
      </c>
      <c r="H70" s="39"/>
      <c r="I70" s="39"/>
      <c r="J70" s="39"/>
      <c r="K70" s="40"/>
      <c r="L70" s="41"/>
      <c r="M70" s="39"/>
      <c r="N70" s="39"/>
      <c r="O70" s="39"/>
      <c r="P70" s="42"/>
      <c r="Q70" s="43"/>
      <c r="R70" s="39"/>
      <c r="S70" s="39"/>
      <c r="T70" s="39"/>
      <c r="U70" s="40"/>
      <c r="V70" s="41"/>
      <c r="W70" s="39"/>
      <c r="X70" s="39"/>
      <c r="Y70" s="39"/>
      <c r="Z70" s="42"/>
      <c r="AA70" s="43"/>
      <c r="AB70" s="39"/>
      <c r="AC70" s="39"/>
      <c r="AD70" s="39"/>
      <c r="AE70" s="42"/>
      <c r="AF70" s="44"/>
      <c r="AG70" s="45"/>
    </row>
    <row r="71" spans="3:33" ht="15">
      <c r="C71" s="46" t="s">
        <v>177</v>
      </c>
      <c r="D71" s="48" t="s">
        <v>44</v>
      </c>
      <c r="E71" s="58" t="s">
        <v>178</v>
      </c>
      <c r="F71" s="49">
        <v>0.250873</v>
      </c>
      <c r="G71" s="38">
        <v>1</v>
      </c>
      <c r="H71" s="39"/>
      <c r="I71" s="39"/>
      <c r="J71" s="39"/>
      <c r="K71" s="40"/>
      <c r="L71" s="41"/>
      <c r="M71" s="39"/>
      <c r="N71" s="39"/>
      <c r="O71" s="39"/>
      <c r="P71" s="42"/>
      <c r="Q71" s="43"/>
      <c r="R71" s="39"/>
      <c r="S71" s="39"/>
      <c r="T71" s="39"/>
      <c r="U71" s="40"/>
      <c r="V71" s="41"/>
      <c r="W71" s="39"/>
      <c r="X71" s="39"/>
      <c r="Y71" s="39"/>
      <c r="Z71" s="42"/>
      <c r="AA71" s="43"/>
      <c r="AB71" s="39"/>
      <c r="AC71" s="39"/>
      <c r="AD71" s="39"/>
      <c r="AE71" s="42"/>
      <c r="AF71" s="44"/>
      <c r="AG71" s="45"/>
    </row>
    <row r="72" spans="3:33" ht="15">
      <c r="C72" s="46" t="s">
        <v>179</v>
      </c>
      <c r="D72" s="48" t="s">
        <v>108</v>
      </c>
      <c r="E72" s="48" t="s">
        <v>180</v>
      </c>
      <c r="F72" s="49">
        <v>0.216492</v>
      </c>
      <c r="G72" s="38">
        <v>1</v>
      </c>
      <c r="H72" s="39"/>
      <c r="I72" s="39"/>
      <c r="J72" s="39"/>
      <c r="K72" s="40"/>
      <c r="L72" s="41"/>
      <c r="M72" s="39"/>
      <c r="N72" s="39"/>
      <c r="O72" s="39"/>
      <c r="P72" s="42"/>
      <c r="Q72" s="43"/>
      <c r="R72" s="39"/>
      <c r="S72" s="39"/>
      <c r="T72" s="39"/>
      <c r="U72" s="40"/>
      <c r="V72" s="41"/>
      <c r="W72" s="39"/>
      <c r="X72" s="39"/>
      <c r="Y72" s="39"/>
      <c r="Z72" s="42"/>
      <c r="AA72" s="43"/>
      <c r="AB72" s="39"/>
      <c r="AC72" s="39"/>
      <c r="AD72" s="39"/>
      <c r="AE72" s="42"/>
      <c r="AF72" s="44">
        <v>250</v>
      </c>
      <c r="AG72" s="45">
        <v>330</v>
      </c>
    </row>
    <row r="73" spans="3:33" ht="15">
      <c r="C73" s="46" t="s">
        <v>181</v>
      </c>
      <c r="D73" s="48" t="s">
        <v>108</v>
      </c>
      <c r="E73" s="48" t="s">
        <v>182</v>
      </c>
      <c r="F73" s="49">
        <v>0.197354</v>
      </c>
      <c r="G73" s="38">
        <v>1</v>
      </c>
      <c r="H73" s="39"/>
      <c r="I73" s="39"/>
      <c r="J73" s="39"/>
      <c r="K73" s="40"/>
      <c r="L73" s="41"/>
      <c r="M73" s="39"/>
      <c r="N73" s="39"/>
      <c r="O73" s="39"/>
      <c r="P73" s="42"/>
      <c r="Q73" s="43"/>
      <c r="R73" s="39"/>
      <c r="S73" s="39"/>
      <c r="T73" s="39"/>
      <c r="U73" s="40"/>
      <c r="V73" s="41"/>
      <c r="W73" s="39"/>
      <c r="X73" s="39"/>
      <c r="Y73" s="39"/>
      <c r="Z73" s="42"/>
      <c r="AA73" s="43"/>
      <c r="AB73" s="39"/>
      <c r="AC73" s="39"/>
      <c r="AD73" s="39"/>
      <c r="AE73" s="42"/>
      <c r="AF73" s="44">
        <v>45</v>
      </c>
      <c r="AG73" s="45">
        <v>380</v>
      </c>
    </row>
    <row r="74" spans="3:33" ht="15">
      <c r="C74" s="46" t="s">
        <v>183</v>
      </c>
      <c r="D74" s="48" t="s">
        <v>108</v>
      </c>
      <c r="E74" s="48" t="s">
        <v>184</v>
      </c>
      <c r="F74" s="49">
        <v>0.187998</v>
      </c>
      <c r="G74" s="38">
        <v>1</v>
      </c>
      <c r="H74" s="39"/>
      <c r="I74" s="39"/>
      <c r="J74" s="39"/>
      <c r="K74" s="40"/>
      <c r="L74" s="41"/>
      <c r="M74" s="39"/>
      <c r="N74" s="39"/>
      <c r="O74" s="39"/>
      <c r="P74" s="42"/>
      <c r="Q74" s="43"/>
      <c r="R74" s="39"/>
      <c r="S74" s="39"/>
      <c r="T74" s="39"/>
      <c r="U74" s="40"/>
      <c r="V74" s="41"/>
      <c r="W74" s="39"/>
      <c r="X74" s="39"/>
      <c r="Y74" s="39"/>
      <c r="Z74" s="42"/>
      <c r="AA74" s="43"/>
      <c r="AB74" s="39"/>
      <c r="AC74" s="39"/>
      <c r="AD74" s="39"/>
      <c r="AE74" s="42"/>
      <c r="AF74" s="44">
        <v>0</v>
      </c>
      <c r="AG74" s="45">
        <v>240</v>
      </c>
    </row>
    <row r="75" spans="3:33" ht="15">
      <c r="C75" s="46" t="s">
        <v>185</v>
      </c>
      <c r="D75" s="48" t="s">
        <v>108</v>
      </c>
      <c r="E75" s="48" t="s">
        <v>186</v>
      </c>
      <c r="F75" s="49">
        <v>0.179</v>
      </c>
      <c r="G75" s="38">
        <v>1</v>
      </c>
      <c r="H75" s="39"/>
      <c r="I75" s="39"/>
      <c r="J75" s="39"/>
      <c r="K75" s="40"/>
      <c r="L75" s="41"/>
      <c r="M75" s="39"/>
      <c r="N75" s="39"/>
      <c r="O75" s="39"/>
      <c r="P75" s="42"/>
      <c r="Q75" s="43"/>
      <c r="R75" s="39"/>
      <c r="S75" s="39"/>
      <c r="T75" s="39"/>
      <c r="U75" s="40"/>
      <c r="V75" s="41"/>
      <c r="W75" s="39"/>
      <c r="X75" s="39"/>
      <c r="Y75" s="39"/>
      <c r="Z75" s="42"/>
      <c r="AA75" s="43"/>
      <c r="AB75" s="39"/>
      <c r="AC75" s="39"/>
      <c r="AD75" s="39"/>
      <c r="AE75" s="42"/>
      <c r="AF75" s="44">
        <v>0</v>
      </c>
      <c r="AG75" s="45">
        <v>240</v>
      </c>
    </row>
    <row r="76" spans="3:33" ht="15">
      <c r="C76" s="46" t="s">
        <v>187</v>
      </c>
      <c r="D76" s="48" t="s">
        <v>44</v>
      </c>
      <c r="E76" s="47" t="s">
        <v>188</v>
      </c>
      <c r="F76" s="49">
        <v>0.176169</v>
      </c>
      <c r="G76" s="38">
        <v>1</v>
      </c>
      <c r="H76" s="39"/>
      <c r="I76" s="39"/>
      <c r="J76" s="39"/>
      <c r="K76" s="40"/>
      <c r="L76" s="41"/>
      <c r="M76" s="39"/>
      <c r="N76" s="39"/>
      <c r="O76" s="39"/>
      <c r="P76" s="42"/>
      <c r="Q76" s="43"/>
      <c r="R76" s="39"/>
      <c r="S76" s="39"/>
      <c r="T76" s="39"/>
      <c r="U76" s="40"/>
      <c r="V76" s="41"/>
      <c r="W76" s="39"/>
      <c r="X76" s="39"/>
      <c r="Y76" s="39"/>
      <c r="Z76" s="42"/>
      <c r="AA76" s="43"/>
      <c r="AB76" s="39"/>
      <c r="AC76" s="39"/>
      <c r="AD76" s="39"/>
      <c r="AE76" s="42"/>
      <c r="AF76" s="44">
        <v>600</v>
      </c>
      <c r="AG76" s="45">
        <v>710</v>
      </c>
    </row>
    <row r="77" spans="3:33" ht="15">
      <c r="C77" s="46" t="s">
        <v>189</v>
      </c>
      <c r="D77" s="48" t="s">
        <v>44</v>
      </c>
      <c r="E77" s="58" t="s">
        <v>190</v>
      </c>
      <c r="F77" s="49">
        <v>0.16937</v>
      </c>
      <c r="G77" s="38">
        <v>1</v>
      </c>
      <c r="H77" s="39"/>
      <c r="I77" s="39"/>
      <c r="J77" s="39"/>
      <c r="K77" s="40"/>
      <c r="L77" s="41"/>
      <c r="M77" s="39"/>
      <c r="N77" s="39"/>
      <c r="O77" s="39"/>
      <c r="P77" s="42"/>
      <c r="Q77" s="43"/>
      <c r="R77" s="39"/>
      <c r="S77" s="39"/>
      <c r="T77" s="39"/>
      <c r="U77" s="40"/>
      <c r="V77" s="41"/>
      <c r="W77" s="39"/>
      <c r="X77" s="39"/>
      <c r="Y77" s="39"/>
      <c r="Z77" s="42"/>
      <c r="AA77" s="43"/>
      <c r="AB77" s="39"/>
      <c r="AC77" s="39"/>
      <c r="AD77" s="39"/>
      <c r="AE77" s="42"/>
      <c r="AF77" s="44"/>
      <c r="AG77" s="45"/>
    </row>
    <row r="78" spans="3:33" ht="15">
      <c r="C78" s="46" t="s">
        <v>191</v>
      </c>
      <c r="D78" s="48" t="s">
        <v>108</v>
      </c>
      <c r="E78" s="48" t="s">
        <v>192</v>
      </c>
      <c r="F78" s="49">
        <v>0.16916</v>
      </c>
      <c r="G78" s="38">
        <v>1</v>
      </c>
      <c r="H78" s="39"/>
      <c r="I78" s="39"/>
      <c r="J78" s="39"/>
      <c r="K78" s="40"/>
      <c r="L78" s="41"/>
      <c r="M78" s="39"/>
      <c r="N78" s="39"/>
      <c r="O78" s="39"/>
      <c r="P78" s="42"/>
      <c r="Q78" s="43"/>
      <c r="R78" s="39"/>
      <c r="S78" s="39"/>
      <c r="T78" s="39"/>
      <c r="U78" s="40"/>
      <c r="V78" s="41"/>
      <c r="W78" s="39"/>
      <c r="X78" s="39"/>
      <c r="Y78" s="39"/>
      <c r="Z78" s="42"/>
      <c r="AA78" s="43"/>
      <c r="AB78" s="39"/>
      <c r="AC78" s="39"/>
      <c r="AD78" s="39"/>
      <c r="AE78" s="42"/>
      <c r="AF78" s="44">
        <v>60</v>
      </c>
      <c r="AG78" s="45">
        <v>420</v>
      </c>
    </row>
    <row r="79" spans="3:33" ht="15">
      <c r="C79" s="46" t="s">
        <v>193</v>
      </c>
      <c r="D79" s="48" t="s">
        <v>44</v>
      </c>
      <c r="E79" s="58" t="s">
        <v>194</v>
      </c>
      <c r="F79" s="49">
        <v>0.167988</v>
      </c>
      <c r="G79" s="38">
        <v>1</v>
      </c>
      <c r="H79" s="39"/>
      <c r="I79" s="39"/>
      <c r="J79" s="39"/>
      <c r="K79" s="40"/>
      <c r="L79" s="41"/>
      <c r="M79" s="39"/>
      <c r="N79" s="39"/>
      <c r="O79" s="39"/>
      <c r="P79" s="42"/>
      <c r="Q79" s="43"/>
      <c r="R79" s="39"/>
      <c r="S79" s="39"/>
      <c r="T79" s="39"/>
      <c r="U79" s="40"/>
      <c r="V79" s="41"/>
      <c r="W79" s="39"/>
      <c r="X79" s="39"/>
      <c r="Y79" s="39"/>
      <c r="Z79" s="42"/>
      <c r="AA79" s="43"/>
      <c r="AB79" s="39"/>
      <c r="AC79" s="39"/>
      <c r="AD79" s="39"/>
      <c r="AE79" s="42"/>
      <c r="AF79" s="44"/>
      <c r="AG79" s="45"/>
    </row>
    <row r="80" spans="3:33" ht="15">
      <c r="C80" s="46" t="s">
        <v>195</v>
      </c>
      <c r="D80" s="48" t="s">
        <v>44</v>
      </c>
      <c r="E80" s="58" t="s">
        <v>196</v>
      </c>
      <c r="F80" s="49">
        <v>0.164434</v>
      </c>
      <c r="G80" s="38">
        <v>1</v>
      </c>
      <c r="H80" s="39"/>
      <c r="I80" s="39"/>
      <c r="J80" s="39"/>
      <c r="K80" s="40"/>
      <c r="L80" s="41"/>
      <c r="M80" s="39"/>
      <c r="N80" s="39"/>
      <c r="O80" s="39"/>
      <c r="P80" s="42"/>
      <c r="Q80" s="43"/>
      <c r="R80" s="39"/>
      <c r="S80" s="39"/>
      <c r="T80" s="39"/>
      <c r="U80" s="40"/>
      <c r="V80" s="41"/>
      <c r="W80" s="39"/>
      <c r="X80" s="39"/>
      <c r="Y80" s="39"/>
      <c r="Z80" s="42"/>
      <c r="AA80" s="43"/>
      <c r="AB80" s="39"/>
      <c r="AC80" s="39"/>
      <c r="AD80" s="39"/>
      <c r="AE80" s="42"/>
      <c r="AF80" s="44"/>
      <c r="AG80" s="45"/>
    </row>
    <row r="81" spans="3:33" ht="15">
      <c r="C81" s="46" t="s">
        <v>197</v>
      </c>
      <c r="D81" s="48" t="s">
        <v>44</v>
      </c>
      <c r="E81" s="58" t="s">
        <v>198</v>
      </c>
      <c r="F81" s="49">
        <v>0.16383</v>
      </c>
      <c r="G81" s="38">
        <v>1</v>
      </c>
      <c r="H81" s="39"/>
      <c r="I81" s="39"/>
      <c r="J81" s="39"/>
      <c r="K81" s="40"/>
      <c r="L81" s="41"/>
      <c r="M81" s="39"/>
      <c r="N81" s="39"/>
      <c r="O81" s="39"/>
      <c r="P81" s="42"/>
      <c r="Q81" s="43"/>
      <c r="R81" s="39"/>
      <c r="S81" s="39"/>
      <c r="T81" s="39"/>
      <c r="U81" s="40"/>
      <c r="V81" s="41"/>
      <c r="W81" s="39"/>
      <c r="X81" s="39"/>
      <c r="Y81" s="39"/>
      <c r="Z81" s="42"/>
      <c r="AA81" s="43"/>
      <c r="AB81" s="39"/>
      <c r="AC81" s="39"/>
      <c r="AD81" s="39"/>
      <c r="AE81" s="42"/>
      <c r="AF81" s="44"/>
      <c r="AG81" s="45"/>
    </row>
    <row r="82" spans="3:33" ht="15">
      <c r="C82" s="46" t="s">
        <v>199</v>
      </c>
      <c r="D82" s="48" t="s">
        <v>44</v>
      </c>
      <c r="E82" s="58" t="s">
        <v>200</v>
      </c>
      <c r="F82" s="49">
        <v>0.15649</v>
      </c>
      <c r="G82" s="38">
        <v>1</v>
      </c>
      <c r="H82" s="39"/>
      <c r="I82" s="39"/>
      <c r="J82" s="39"/>
      <c r="K82" s="40"/>
      <c r="L82" s="41"/>
      <c r="M82" s="39"/>
      <c r="N82" s="39"/>
      <c r="O82" s="39"/>
      <c r="P82" s="42"/>
      <c r="Q82" s="43"/>
      <c r="R82" s="39"/>
      <c r="S82" s="39"/>
      <c r="T82" s="39"/>
      <c r="U82" s="40"/>
      <c r="V82" s="41"/>
      <c r="W82" s="39"/>
      <c r="X82" s="39"/>
      <c r="Y82" s="39"/>
      <c r="Z82" s="42"/>
      <c r="AA82" s="43"/>
      <c r="AB82" s="39"/>
      <c r="AC82" s="39"/>
      <c r="AD82" s="39"/>
      <c r="AE82" s="42"/>
      <c r="AF82" s="44"/>
      <c r="AG82" s="45"/>
    </row>
    <row r="83" spans="3:33" ht="15">
      <c r="C83" s="46" t="s">
        <v>201</v>
      </c>
      <c r="D83" s="48" t="s">
        <v>44</v>
      </c>
      <c r="E83" s="58" t="s">
        <v>202</v>
      </c>
      <c r="F83" s="49">
        <v>0.149165</v>
      </c>
      <c r="G83" s="38">
        <v>1</v>
      </c>
      <c r="H83" s="39"/>
      <c r="I83" s="39"/>
      <c r="J83" s="39"/>
      <c r="K83" s="40"/>
      <c r="L83" s="41"/>
      <c r="M83" s="39"/>
      <c r="N83" s="39"/>
      <c r="O83" s="39"/>
      <c r="P83" s="42"/>
      <c r="Q83" s="43"/>
      <c r="R83" s="39"/>
      <c r="S83" s="39"/>
      <c r="T83" s="39"/>
      <c r="U83" s="40"/>
      <c r="V83" s="41"/>
      <c r="W83" s="39"/>
      <c r="X83" s="39"/>
      <c r="Y83" s="39"/>
      <c r="Z83" s="42"/>
      <c r="AA83" s="43"/>
      <c r="AB83" s="39"/>
      <c r="AC83" s="39"/>
      <c r="AD83" s="39"/>
      <c r="AE83" s="42"/>
      <c r="AF83" s="44"/>
      <c r="AG83" s="45"/>
    </row>
    <row r="84" spans="3:33" ht="15">
      <c r="C84" s="46" t="s">
        <v>203</v>
      </c>
      <c r="D84" s="48" t="s">
        <v>108</v>
      </c>
      <c r="E84" s="48" t="s">
        <v>204</v>
      </c>
      <c r="F84" s="49">
        <v>0.124716</v>
      </c>
      <c r="G84" s="38">
        <v>1</v>
      </c>
      <c r="H84" s="39"/>
      <c r="I84" s="39"/>
      <c r="J84" s="39"/>
      <c r="K84" s="40"/>
      <c r="L84" s="41"/>
      <c r="M84" s="39"/>
      <c r="N84" s="39"/>
      <c r="O84" s="39"/>
      <c r="P84" s="42"/>
      <c r="Q84" s="43"/>
      <c r="R84" s="39"/>
      <c r="S84" s="39"/>
      <c r="T84" s="39"/>
      <c r="U84" s="40"/>
      <c r="V84" s="41"/>
      <c r="W84" s="39"/>
      <c r="X84" s="39"/>
      <c r="Y84" s="39"/>
      <c r="Z84" s="42"/>
      <c r="AA84" s="43"/>
      <c r="AB84" s="39"/>
      <c r="AC84" s="39"/>
      <c r="AD84" s="39"/>
      <c r="AE84" s="42"/>
      <c r="AF84" s="44">
        <v>0</v>
      </c>
      <c r="AG84" s="45">
        <v>380</v>
      </c>
    </row>
    <row r="85" spans="3:33" ht="15">
      <c r="C85" s="46" t="s">
        <v>205</v>
      </c>
      <c r="D85" s="48" t="s">
        <v>108</v>
      </c>
      <c r="E85" s="48" t="s">
        <v>206</v>
      </c>
      <c r="F85" s="49">
        <v>0.104938</v>
      </c>
      <c r="G85" s="38">
        <v>1</v>
      </c>
      <c r="H85" s="39"/>
      <c r="I85" s="39"/>
      <c r="J85" s="39"/>
      <c r="K85" s="40"/>
      <c r="L85" s="41"/>
      <c r="M85" s="39"/>
      <c r="N85" s="39"/>
      <c r="O85" s="39"/>
      <c r="P85" s="42"/>
      <c r="Q85" s="43"/>
      <c r="R85" s="39"/>
      <c r="S85" s="39"/>
      <c r="T85" s="39"/>
      <c r="U85" s="40"/>
      <c r="V85" s="41"/>
      <c r="W85" s="39"/>
      <c r="X85" s="39"/>
      <c r="Y85" s="39"/>
      <c r="Z85" s="42"/>
      <c r="AA85" s="43"/>
      <c r="AB85" s="39"/>
      <c r="AC85" s="39"/>
      <c r="AD85" s="39"/>
      <c r="AE85" s="42"/>
      <c r="AF85" s="44">
        <v>0</v>
      </c>
      <c r="AG85" s="45">
        <v>290</v>
      </c>
    </row>
    <row r="86" spans="3:33" ht="15">
      <c r="C86" s="46" t="s">
        <v>207</v>
      </c>
      <c r="D86" s="48" t="s">
        <v>108</v>
      </c>
      <c r="E86" s="54" t="s">
        <v>208</v>
      </c>
      <c r="F86" s="49">
        <v>0.081106</v>
      </c>
      <c r="G86" s="38">
        <v>1</v>
      </c>
      <c r="H86" s="39"/>
      <c r="I86" s="39"/>
      <c r="J86" s="39"/>
      <c r="K86" s="40"/>
      <c r="L86" s="41"/>
      <c r="M86" s="39"/>
      <c r="N86" s="39"/>
      <c r="O86" s="39"/>
      <c r="P86" s="42"/>
      <c r="Q86" s="43"/>
      <c r="R86" s="39"/>
      <c r="S86" s="39"/>
      <c r="T86" s="39"/>
      <c r="U86" s="40"/>
      <c r="V86" s="41"/>
      <c r="W86" s="39"/>
      <c r="X86" s="39"/>
      <c r="Y86" s="39"/>
      <c r="Z86" s="42"/>
      <c r="AA86" s="43"/>
      <c r="AB86" s="39"/>
      <c r="AC86" s="39"/>
      <c r="AD86" s="39"/>
      <c r="AE86" s="42"/>
      <c r="AF86" s="44"/>
      <c r="AG86" s="45"/>
    </row>
    <row r="87" spans="3:33" ht="15">
      <c r="C87" s="46" t="s">
        <v>209</v>
      </c>
      <c r="D87" s="48" t="s">
        <v>108</v>
      </c>
      <c r="E87" s="48" t="s">
        <v>210</v>
      </c>
      <c r="F87" s="49">
        <v>0.081</v>
      </c>
      <c r="G87" s="38">
        <v>1</v>
      </c>
      <c r="H87" s="39"/>
      <c r="I87" s="39"/>
      <c r="J87" s="39"/>
      <c r="K87" s="40"/>
      <c r="L87" s="41"/>
      <c r="M87" s="39"/>
      <c r="N87" s="39"/>
      <c r="O87" s="39"/>
      <c r="P87" s="42"/>
      <c r="Q87" s="43"/>
      <c r="R87" s="39"/>
      <c r="S87" s="39"/>
      <c r="T87" s="39"/>
      <c r="U87" s="40"/>
      <c r="V87" s="41"/>
      <c r="W87" s="39"/>
      <c r="X87" s="39"/>
      <c r="Y87" s="39"/>
      <c r="Z87" s="42"/>
      <c r="AA87" s="43"/>
      <c r="AB87" s="39"/>
      <c r="AC87" s="39"/>
      <c r="AD87" s="39"/>
      <c r="AE87" s="42"/>
      <c r="AF87" s="44">
        <v>0</v>
      </c>
      <c r="AG87" s="45">
        <v>350</v>
      </c>
    </row>
    <row r="88" spans="3:33" ht="15">
      <c r="C88" s="46" t="s">
        <v>211</v>
      </c>
      <c r="D88" s="48" t="s">
        <v>108</v>
      </c>
      <c r="E88" s="48" t="s">
        <v>212</v>
      </c>
      <c r="F88" s="49">
        <v>0.076122</v>
      </c>
      <c r="G88" s="38">
        <v>1</v>
      </c>
      <c r="H88" s="39"/>
      <c r="I88" s="39"/>
      <c r="J88" s="39"/>
      <c r="K88" s="40"/>
      <c r="L88" s="41"/>
      <c r="M88" s="39"/>
      <c r="N88" s="39"/>
      <c r="O88" s="39"/>
      <c r="P88" s="42"/>
      <c r="Q88" s="43"/>
      <c r="R88" s="39"/>
      <c r="S88" s="39"/>
      <c r="T88" s="39"/>
      <c r="U88" s="40"/>
      <c r="V88" s="41"/>
      <c r="W88" s="39"/>
      <c r="X88" s="39"/>
      <c r="Y88" s="39"/>
      <c r="Z88" s="42"/>
      <c r="AA88" s="43"/>
      <c r="AB88" s="39"/>
      <c r="AC88" s="39"/>
      <c r="AD88" s="39"/>
      <c r="AE88" s="42"/>
      <c r="AF88" s="44">
        <v>25</v>
      </c>
      <c r="AG88" s="45">
        <v>250</v>
      </c>
    </row>
    <row r="89" spans="3:33" ht="15">
      <c r="C89" s="46" t="s">
        <v>213</v>
      </c>
      <c r="D89" s="48" t="s">
        <v>108</v>
      </c>
      <c r="E89" s="48" t="s">
        <v>214</v>
      </c>
      <c r="F89" s="49">
        <v>0.070484</v>
      </c>
      <c r="G89" s="38">
        <v>1</v>
      </c>
      <c r="H89" s="39"/>
      <c r="I89" s="39"/>
      <c r="J89" s="39"/>
      <c r="K89" s="40"/>
      <c r="L89" s="41"/>
      <c r="M89" s="39"/>
      <c r="N89" s="39"/>
      <c r="O89" s="39"/>
      <c r="P89" s="42"/>
      <c r="Q89" s="43"/>
      <c r="R89" s="39"/>
      <c r="S89" s="39"/>
      <c r="T89" s="39"/>
      <c r="U89" s="40"/>
      <c r="V89" s="41"/>
      <c r="W89" s="39"/>
      <c r="X89" s="39"/>
      <c r="Y89" s="39"/>
      <c r="Z89" s="42"/>
      <c r="AA89" s="43"/>
      <c r="AB89" s="39"/>
      <c r="AC89" s="39"/>
      <c r="AD89" s="39"/>
      <c r="AE89" s="42"/>
      <c r="AF89" s="44">
        <v>35</v>
      </c>
      <c r="AG89" s="45">
        <v>240</v>
      </c>
    </row>
    <row r="90" spans="3:33" ht="15">
      <c r="C90" s="46" t="s">
        <v>215</v>
      </c>
      <c r="D90" s="48" t="s">
        <v>108</v>
      </c>
      <c r="E90" s="48" t="s">
        <v>216</v>
      </c>
      <c r="F90" s="49">
        <v>0.064281</v>
      </c>
      <c r="G90" s="38">
        <v>1</v>
      </c>
      <c r="H90" s="39"/>
      <c r="I90" s="39"/>
      <c r="J90" s="39"/>
      <c r="K90" s="40"/>
      <c r="L90" s="41"/>
      <c r="M90" s="39"/>
      <c r="N90" s="39"/>
      <c r="O90" s="39"/>
      <c r="P90" s="42"/>
      <c r="Q90" s="43"/>
      <c r="R90" s="39"/>
      <c r="S90" s="39"/>
      <c r="T90" s="39"/>
      <c r="U90" s="40"/>
      <c r="V90" s="41"/>
      <c r="W90" s="39"/>
      <c r="X90" s="39"/>
      <c r="Y90" s="39"/>
      <c r="Z90" s="42"/>
      <c r="AA90" s="43"/>
      <c r="AB90" s="39"/>
      <c r="AC90" s="39"/>
      <c r="AD90" s="39"/>
      <c r="AE90" s="42"/>
      <c r="AF90" s="44">
        <v>20</v>
      </c>
      <c r="AG90" s="45">
        <v>260</v>
      </c>
    </row>
    <row r="91" spans="3:33" ht="15">
      <c r="C91" s="46" t="s">
        <v>217</v>
      </c>
      <c r="D91" s="48" t="s">
        <v>108</v>
      </c>
      <c r="E91" s="48" t="s">
        <v>218</v>
      </c>
      <c r="F91" s="49">
        <v>0.023</v>
      </c>
      <c r="G91" s="38">
        <v>1</v>
      </c>
      <c r="H91" s="39"/>
      <c r="I91" s="39"/>
      <c r="J91" s="39"/>
      <c r="K91" s="40"/>
      <c r="L91" s="41"/>
      <c r="M91" s="39"/>
      <c r="N91" s="39"/>
      <c r="O91" s="39"/>
      <c r="P91" s="42"/>
      <c r="Q91" s="43"/>
      <c r="R91" s="39"/>
      <c r="S91" s="39"/>
      <c r="T91" s="39"/>
      <c r="U91" s="40"/>
      <c r="V91" s="41"/>
      <c r="W91" s="39"/>
      <c r="X91" s="39"/>
      <c r="Y91" s="39"/>
      <c r="Z91" s="42"/>
      <c r="AA91" s="43"/>
      <c r="AB91" s="39"/>
      <c r="AC91" s="39"/>
      <c r="AD91" s="39"/>
      <c r="AE91" s="42"/>
      <c r="AF91" s="44">
        <v>50</v>
      </c>
      <c r="AG91" s="45">
        <v>170</v>
      </c>
    </row>
    <row r="92" spans="3:33" ht="15">
      <c r="C92" s="46" t="s">
        <v>219</v>
      </c>
      <c r="D92" s="48" t="s">
        <v>108</v>
      </c>
      <c r="E92" s="48" t="s">
        <v>220</v>
      </c>
      <c r="F92" s="49">
        <v>0.016277</v>
      </c>
      <c r="G92" s="38">
        <v>1</v>
      </c>
      <c r="H92" s="39"/>
      <c r="I92" s="39"/>
      <c r="J92" s="39"/>
      <c r="K92" s="40"/>
      <c r="L92" s="41"/>
      <c r="M92" s="39"/>
      <c r="N92" s="39"/>
      <c r="O92" s="39"/>
      <c r="P92" s="42"/>
      <c r="Q92" s="43"/>
      <c r="R92" s="39"/>
      <c r="S92" s="39"/>
      <c r="T92" s="39"/>
      <c r="U92" s="40"/>
      <c r="V92" s="41"/>
      <c r="W92" s="39"/>
      <c r="X92" s="39"/>
      <c r="Y92" s="39"/>
      <c r="Z92" s="42"/>
      <c r="AA92" s="43"/>
      <c r="AB92" s="39"/>
      <c r="AC92" s="39"/>
      <c r="AD92" s="39"/>
      <c r="AE92" s="42"/>
      <c r="AF92" s="44">
        <v>0</v>
      </c>
      <c r="AG92" s="45">
        <v>180</v>
      </c>
    </row>
    <row r="93" spans="3:33" ht="15">
      <c r="C93" s="46" t="s">
        <v>221</v>
      </c>
      <c r="D93" s="48" t="s">
        <v>108</v>
      </c>
      <c r="E93" s="54" t="s">
        <v>222</v>
      </c>
      <c r="F93" s="49">
        <v>0.013926</v>
      </c>
      <c r="G93" s="38">
        <v>1</v>
      </c>
      <c r="H93" s="39"/>
      <c r="I93" s="39"/>
      <c r="J93" s="39"/>
      <c r="K93" s="40"/>
      <c r="L93" s="41"/>
      <c r="M93" s="39"/>
      <c r="N93" s="39"/>
      <c r="O93" s="39"/>
      <c r="P93" s="42"/>
      <c r="Q93" s="43"/>
      <c r="R93" s="39"/>
      <c r="S93" s="39"/>
      <c r="T93" s="39"/>
      <c r="U93" s="40"/>
      <c r="V93" s="41"/>
      <c r="W93" s="39"/>
      <c r="X93" s="39"/>
      <c r="Y93" s="39"/>
      <c r="Z93" s="42"/>
      <c r="AA93" s="43"/>
      <c r="AB93" s="39"/>
      <c r="AC93" s="39"/>
      <c r="AD93" s="39"/>
      <c r="AE93" s="42"/>
      <c r="AF93" s="44"/>
      <c r="AG93" s="45"/>
    </row>
    <row r="94" spans="3:33" ht="15">
      <c r="C94" s="46" t="s">
        <v>223</v>
      </c>
      <c r="D94" s="48" t="s">
        <v>108</v>
      </c>
      <c r="E94" s="48" t="s">
        <v>224</v>
      </c>
      <c r="F94" s="49">
        <v>0.012389</v>
      </c>
      <c r="G94" s="38">
        <v>1</v>
      </c>
      <c r="H94" s="39"/>
      <c r="I94" s="39"/>
      <c r="J94" s="39"/>
      <c r="K94" s="40"/>
      <c r="L94" s="41"/>
      <c r="M94" s="39"/>
      <c r="N94" s="39"/>
      <c r="O94" s="39"/>
      <c r="P94" s="42"/>
      <c r="Q94" s="43"/>
      <c r="R94" s="39"/>
      <c r="S94" s="39"/>
      <c r="T94" s="39"/>
      <c r="U94" s="40"/>
      <c r="V94" s="41"/>
      <c r="W94" s="39"/>
      <c r="X94" s="39"/>
      <c r="Y94" s="39"/>
      <c r="Z94" s="42"/>
      <c r="AA94" s="43"/>
      <c r="AB94" s="39"/>
      <c r="AC94" s="39"/>
      <c r="AD94" s="39"/>
      <c r="AE94" s="42"/>
      <c r="AF94" s="44">
        <v>0</v>
      </c>
      <c r="AG94" s="45">
        <v>250</v>
      </c>
    </row>
    <row r="95" spans="3:33" ht="15">
      <c r="C95" s="46" t="s">
        <v>225</v>
      </c>
      <c r="D95" s="48" t="s">
        <v>108</v>
      </c>
      <c r="E95" s="48" t="s">
        <v>226</v>
      </c>
      <c r="F95" s="49">
        <v>0.003864</v>
      </c>
      <c r="G95" s="38">
        <v>1</v>
      </c>
      <c r="H95" s="39"/>
      <c r="I95" s="39"/>
      <c r="J95" s="39"/>
      <c r="K95" s="40"/>
      <c r="L95" s="41"/>
      <c r="M95" s="39"/>
      <c r="N95" s="39"/>
      <c r="O95" s="39"/>
      <c r="P95" s="42"/>
      <c r="Q95" s="43"/>
      <c r="R95" s="39"/>
      <c r="S95" s="39"/>
      <c r="T95" s="39"/>
      <c r="U95" s="40"/>
      <c r="V95" s="41"/>
      <c r="W95" s="39"/>
      <c r="X95" s="39"/>
      <c r="Y95" s="39"/>
      <c r="Z95" s="42"/>
      <c r="AA95" s="43"/>
      <c r="AB95" s="39"/>
      <c r="AC95" s="39"/>
      <c r="AD95" s="39"/>
      <c r="AE95" s="42"/>
      <c r="AF95" s="44">
        <v>25</v>
      </c>
      <c r="AG95" s="45">
        <v>240</v>
      </c>
    </row>
    <row r="96" spans="3:33" ht="15">
      <c r="C96" s="46" t="s">
        <v>227</v>
      </c>
      <c r="D96" s="48" t="s">
        <v>108</v>
      </c>
      <c r="E96" s="48" t="s">
        <v>228</v>
      </c>
      <c r="F96" s="49">
        <v>0.002631</v>
      </c>
      <c r="G96" s="38">
        <v>1</v>
      </c>
      <c r="H96" s="39">
        <v>0.149</v>
      </c>
      <c r="I96" s="39"/>
      <c r="J96" s="39"/>
      <c r="K96" s="40"/>
      <c r="L96" s="41"/>
      <c r="M96" s="39"/>
      <c r="N96" s="39"/>
      <c r="O96" s="39"/>
      <c r="P96" s="42"/>
      <c r="Q96" s="43"/>
      <c r="R96" s="39"/>
      <c r="S96" s="39"/>
      <c r="T96" s="39"/>
      <c r="U96" s="40"/>
      <c r="V96" s="41"/>
      <c r="W96" s="39"/>
      <c r="X96" s="39"/>
      <c r="Y96" s="39"/>
      <c r="Z96" s="42"/>
      <c r="AA96" s="43"/>
      <c r="AB96" s="39"/>
      <c r="AC96" s="39"/>
      <c r="AD96" s="39"/>
      <c r="AE96" s="42"/>
      <c r="AF96" s="44">
        <v>65</v>
      </c>
      <c r="AG96" s="45">
        <v>140</v>
      </c>
    </row>
    <row r="97" spans="3:33" ht="15">
      <c r="C97" s="46" t="s">
        <v>229</v>
      </c>
      <c r="D97" s="48" t="s">
        <v>44</v>
      </c>
      <c r="E97" s="54" t="s">
        <v>230</v>
      </c>
      <c r="F97" s="49">
        <v>0</v>
      </c>
      <c r="G97" s="38">
        <v>1</v>
      </c>
      <c r="H97" s="39"/>
      <c r="I97" s="39"/>
      <c r="J97" s="39"/>
      <c r="K97" s="40"/>
      <c r="L97" s="41"/>
      <c r="M97" s="39"/>
      <c r="N97" s="39"/>
      <c r="O97" s="39"/>
      <c r="P97" s="42"/>
      <c r="Q97" s="43"/>
      <c r="R97" s="39"/>
      <c r="S97" s="39"/>
      <c r="T97" s="39"/>
      <c r="U97" s="40"/>
      <c r="V97" s="41"/>
      <c r="W97" s="39"/>
      <c r="X97" s="39"/>
      <c r="Y97" s="39"/>
      <c r="Z97" s="42"/>
      <c r="AA97" s="43"/>
      <c r="AB97" s="39"/>
      <c r="AC97" s="39"/>
      <c r="AD97" s="39"/>
      <c r="AE97" s="42"/>
      <c r="AF97" s="44"/>
      <c r="AG97" s="45"/>
    </row>
    <row r="98" spans="3:33" ht="15">
      <c r="C98" s="46" t="s">
        <v>231</v>
      </c>
      <c r="D98" s="48" t="s">
        <v>232</v>
      </c>
      <c r="E98" s="54" t="s">
        <v>233</v>
      </c>
      <c r="F98" s="49">
        <v>0</v>
      </c>
      <c r="G98" s="38">
        <v>1</v>
      </c>
      <c r="H98" s="39"/>
      <c r="I98" s="39"/>
      <c r="J98" s="39"/>
      <c r="K98" s="40"/>
      <c r="L98" s="41"/>
      <c r="M98" s="39"/>
      <c r="N98" s="39"/>
      <c r="O98" s="39"/>
      <c r="P98" s="42"/>
      <c r="Q98" s="43"/>
      <c r="R98" s="39"/>
      <c r="S98" s="39"/>
      <c r="T98" s="39"/>
      <c r="U98" s="40"/>
      <c r="V98" s="41"/>
      <c r="W98" s="39"/>
      <c r="X98" s="39"/>
      <c r="Y98" s="39"/>
      <c r="Z98" s="42"/>
      <c r="AA98" s="43"/>
      <c r="AB98" s="39"/>
      <c r="AC98" s="39"/>
      <c r="AD98" s="39"/>
      <c r="AE98" s="42"/>
      <c r="AF98" s="44"/>
      <c r="AG98" s="45"/>
    </row>
    <row r="99" spans="3:33" ht="12.6" thickBot="1">
      <c r="C99" s="50"/>
      <c r="D99" s="59" t="s">
        <v>234</v>
      </c>
      <c r="E99" s="59"/>
      <c r="F99" s="56"/>
      <c r="G99" s="60"/>
      <c r="H99" s="61"/>
      <c r="I99" s="61"/>
      <c r="J99" s="61"/>
      <c r="K99" s="62"/>
      <c r="L99" s="41"/>
      <c r="M99" s="39"/>
      <c r="N99" s="39"/>
      <c r="O99" s="39"/>
      <c r="P99" s="42"/>
      <c r="Q99" s="63"/>
      <c r="R99" s="61"/>
      <c r="S99" s="61"/>
      <c r="T99" s="61"/>
      <c r="U99" s="62"/>
      <c r="V99" s="41"/>
      <c r="W99" s="39"/>
      <c r="X99" s="39"/>
      <c r="Y99" s="39"/>
      <c r="Z99" s="42"/>
      <c r="AA99" s="63"/>
      <c r="AB99" s="61"/>
      <c r="AC99" s="61"/>
      <c r="AD99" s="61"/>
      <c r="AE99" s="64"/>
      <c r="AF99" s="65"/>
      <c r="AG99" s="66"/>
    </row>
    <row r="100" ht="15">
      <c r="C100" s="67"/>
    </row>
    <row r="102" ht="15">
      <c r="I102" s="34"/>
    </row>
    <row r="103" ht="15">
      <c r="I103" s="34"/>
    </row>
    <row r="104" ht="15">
      <c r="I104" s="34"/>
    </row>
    <row r="105" spans="9:11" ht="15">
      <c r="I105" s="34"/>
      <c r="K105" s="34"/>
    </row>
    <row r="106" ht="15">
      <c r="I106" s="34"/>
    </row>
    <row r="107" spans="3:9" ht="15">
      <c r="C107" s="69" t="s">
        <v>235</v>
      </c>
      <c r="I107" s="34"/>
    </row>
    <row r="109" ht="15">
      <c r="I109" s="34"/>
    </row>
    <row r="110" spans="3:7" ht="15">
      <c r="C110" s="46" t="s">
        <v>236</v>
      </c>
      <c r="D110" s="48" t="s">
        <v>237</v>
      </c>
      <c r="E110" s="48" t="s">
        <v>238</v>
      </c>
      <c r="F110" s="70">
        <v>65.592516</v>
      </c>
      <c r="G110" s="71">
        <v>1</v>
      </c>
    </row>
    <row r="111" spans="3:7" ht="15">
      <c r="C111" s="46" t="s">
        <v>239</v>
      </c>
      <c r="D111" s="48" t="s">
        <v>237</v>
      </c>
      <c r="E111" s="48" t="s">
        <v>240</v>
      </c>
      <c r="F111" s="70">
        <v>63.271147</v>
      </c>
      <c r="G111" s="71">
        <v>1</v>
      </c>
    </row>
    <row r="112" spans="3:7" ht="15">
      <c r="C112" s="46" t="s">
        <v>241</v>
      </c>
      <c r="D112" s="48" t="s">
        <v>237</v>
      </c>
      <c r="E112" s="48" t="s">
        <v>242</v>
      </c>
      <c r="F112" s="70">
        <v>55.925825</v>
      </c>
      <c r="G112" s="71">
        <v>1</v>
      </c>
    </row>
    <row r="113" spans="3:7" ht="15">
      <c r="C113" s="46" t="s">
        <v>243</v>
      </c>
      <c r="D113" s="48" t="s">
        <v>237</v>
      </c>
      <c r="E113" s="48" t="s">
        <v>244</v>
      </c>
      <c r="F113" s="70">
        <v>54.160292</v>
      </c>
      <c r="G113" s="71">
        <v>1</v>
      </c>
    </row>
    <row r="114" spans="3:7" ht="15">
      <c r="C114" s="46" t="s">
        <v>245</v>
      </c>
      <c r="D114" s="48" t="s">
        <v>237</v>
      </c>
      <c r="E114" s="48" t="s">
        <v>246</v>
      </c>
      <c r="F114" s="70">
        <v>51.36845</v>
      </c>
      <c r="G114" s="71">
        <v>1</v>
      </c>
    </row>
    <row r="115" spans="3:7" ht="15">
      <c r="C115" s="46" t="s">
        <v>247</v>
      </c>
      <c r="D115" s="48" t="s">
        <v>237</v>
      </c>
      <c r="E115" s="48" t="s">
        <v>248</v>
      </c>
      <c r="F115" s="70">
        <v>48.66711</v>
      </c>
      <c r="G115" s="71">
        <v>1</v>
      </c>
    </row>
    <row r="116" spans="3:7" ht="15">
      <c r="C116" s="46" t="s">
        <v>249</v>
      </c>
      <c r="D116" s="48" t="s">
        <v>237</v>
      </c>
      <c r="E116" s="48" t="s">
        <v>250</v>
      </c>
      <c r="F116" s="70">
        <v>45.11513</v>
      </c>
      <c r="G116" s="71">
        <v>1</v>
      </c>
    </row>
    <row r="117" spans="3:7" ht="15">
      <c r="C117" s="46" t="s">
        <v>251</v>
      </c>
      <c r="D117" s="48" t="s">
        <v>237</v>
      </c>
      <c r="E117" s="48" t="s">
        <v>252</v>
      </c>
      <c r="F117" s="70">
        <v>42.515816</v>
      </c>
      <c r="G117" s="71">
        <v>1</v>
      </c>
    </row>
    <row r="118" spans="3:7" ht="15">
      <c r="C118" s="46" t="s">
        <v>253</v>
      </c>
      <c r="D118" s="48" t="s">
        <v>237</v>
      </c>
      <c r="E118" s="48" t="s">
        <v>254</v>
      </c>
      <c r="F118" s="70">
        <v>38.072727</v>
      </c>
      <c r="G118" s="71">
        <v>1</v>
      </c>
    </row>
    <row r="119" spans="3:7" ht="15">
      <c r="C119" s="46" t="s">
        <v>255</v>
      </c>
      <c r="D119" s="48" t="s">
        <v>237</v>
      </c>
      <c r="E119" s="48" t="s">
        <v>256</v>
      </c>
      <c r="F119" s="70">
        <v>38.059467</v>
      </c>
      <c r="G119" s="71">
        <v>1</v>
      </c>
    </row>
    <row r="120" spans="3:7" ht="15">
      <c r="C120" s="46" t="s">
        <v>257</v>
      </c>
      <c r="D120" s="48" t="s">
        <v>237</v>
      </c>
      <c r="E120" s="48" t="s">
        <v>258</v>
      </c>
      <c r="F120" s="70">
        <v>37.74226</v>
      </c>
      <c r="G120" s="71">
        <v>1</v>
      </c>
    </row>
    <row r="121" spans="3:7" ht="15">
      <c r="C121" s="46" t="s">
        <v>259</v>
      </c>
      <c r="D121" s="48" t="s">
        <v>237</v>
      </c>
      <c r="E121" s="48" t="s">
        <v>260</v>
      </c>
      <c r="F121" s="70">
        <v>35.585103</v>
      </c>
      <c r="G121" s="71">
        <v>1</v>
      </c>
    </row>
    <row r="122" spans="3:7" ht="15">
      <c r="C122" s="46" t="s">
        <v>261</v>
      </c>
      <c r="D122" s="48" t="s">
        <v>237</v>
      </c>
      <c r="E122" s="48" t="s">
        <v>262</v>
      </c>
      <c r="F122" s="70">
        <v>35.351768</v>
      </c>
      <c r="G122" s="71">
        <v>1</v>
      </c>
    </row>
    <row r="123" spans="3:7" ht="15">
      <c r="C123" s="46" t="s">
        <v>263</v>
      </c>
      <c r="D123" s="48" t="s">
        <v>237</v>
      </c>
      <c r="E123" s="48" t="s">
        <v>264</v>
      </c>
      <c r="F123" s="70">
        <v>35.040218</v>
      </c>
      <c r="G123" s="71">
        <v>1</v>
      </c>
    </row>
    <row r="124" spans="3:7" ht="15">
      <c r="C124" s="46" t="s">
        <v>265</v>
      </c>
      <c r="D124" s="48" t="s">
        <v>237</v>
      </c>
      <c r="E124" s="48" t="s">
        <v>266</v>
      </c>
      <c r="F124" s="70">
        <v>34.949649</v>
      </c>
      <c r="G124" s="71">
        <v>1</v>
      </c>
    </row>
    <row r="125" spans="3:7" ht="15">
      <c r="C125" s="46" t="s">
        <v>267</v>
      </c>
      <c r="D125" s="48" t="s">
        <v>237</v>
      </c>
      <c r="E125" s="48" t="s">
        <v>268</v>
      </c>
      <c r="F125" s="70">
        <v>32.982625</v>
      </c>
      <c r="G125" s="71">
        <v>1</v>
      </c>
    </row>
    <row r="126" spans="3:7" ht="15">
      <c r="C126" s="46" t="s">
        <v>269</v>
      </c>
      <c r="D126" s="48" t="s">
        <v>237</v>
      </c>
      <c r="E126" s="48" t="s">
        <v>270</v>
      </c>
      <c r="F126" s="70">
        <v>32.413395</v>
      </c>
      <c r="G126" s="71">
        <v>1</v>
      </c>
    </row>
    <row r="127" spans="3:7" ht="15">
      <c r="C127" s="46" t="s">
        <v>271</v>
      </c>
      <c r="D127" s="48" t="s">
        <v>237</v>
      </c>
      <c r="E127" s="48" t="s">
        <v>272</v>
      </c>
      <c r="F127" s="70">
        <v>32.185185</v>
      </c>
      <c r="G127" s="71">
        <v>1</v>
      </c>
    </row>
    <row r="128" spans="3:7" ht="15">
      <c r="C128" s="46" t="s">
        <v>273</v>
      </c>
      <c r="D128" s="48" t="s">
        <v>237</v>
      </c>
      <c r="E128" s="48" t="s">
        <v>274</v>
      </c>
      <c r="F128" s="70">
        <v>31.940569</v>
      </c>
      <c r="G128" s="71">
        <v>1</v>
      </c>
    </row>
    <row r="129" spans="3:7" ht="15">
      <c r="C129" s="46" t="s">
        <v>275</v>
      </c>
      <c r="D129" s="48" t="s">
        <v>237</v>
      </c>
      <c r="E129" s="48" t="s">
        <v>276</v>
      </c>
      <c r="F129" s="70">
        <v>31.877482</v>
      </c>
      <c r="G129" s="71">
        <v>1</v>
      </c>
    </row>
    <row r="130" spans="3:7" ht="15">
      <c r="C130" s="46" t="s">
        <v>277</v>
      </c>
      <c r="D130" s="48" t="s">
        <v>237</v>
      </c>
      <c r="E130" s="48" t="s">
        <v>278</v>
      </c>
      <c r="F130" s="70">
        <v>31.486095</v>
      </c>
      <c r="G130" s="71">
        <v>1</v>
      </c>
    </row>
    <row r="131" spans="3:7" ht="15">
      <c r="C131" s="46" t="s">
        <v>279</v>
      </c>
      <c r="D131" s="48" t="s">
        <v>237</v>
      </c>
      <c r="E131" s="48" t="s">
        <v>280</v>
      </c>
      <c r="F131" s="70">
        <v>29.965805</v>
      </c>
      <c r="G131" s="71">
        <v>1</v>
      </c>
    </row>
    <row r="132" spans="3:7" ht="15">
      <c r="C132" s="46" t="s">
        <v>281</v>
      </c>
      <c r="D132" s="48" t="s">
        <v>237</v>
      </c>
      <c r="E132" s="48" t="s">
        <v>282</v>
      </c>
      <c r="F132" s="70">
        <v>29.954178</v>
      </c>
      <c r="G132" s="71">
        <v>1</v>
      </c>
    </row>
    <row r="133" spans="3:7" ht="15">
      <c r="C133" s="46" t="s">
        <v>283</v>
      </c>
      <c r="D133" s="48" t="s">
        <v>237</v>
      </c>
      <c r="E133" s="48" t="s">
        <v>284</v>
      </c>
      <c r="F133" s="70">
        <v>29.687115</v>
      </c>
      <c r="G133" s="71">
        <v>1</v>
      </c>
    </row>
    <row r="134" spans="3:7" ht="15">
      <c r="C134" s="46" t="s">
        <v>285</v>
      </c>
      <c r="D134" s="48" t="s">
        <v>237</v>
      </c>
      <c r="E134" s="48" t="s">
        <v>286</v>
      </c>
      <c r="F134" s="70">
        <v>28.736982</v>
      </c>
      <c r="G134" s="71">
        <v>1</v>
      </c>
    </row>
    <row r="135" spans="3:7" ht="15">
      <c r="C135" s="46" t="s">
        <v>287</v>
      </c>
      <c r="D135" s="48" t="s">
        <v>237</v>
      </c>
      <c r="E135" s="48" t="s">
        <v>288</v>
      </c>
      <c r="F135" s="70">
        <v>28.492153</v>
      </c>
      <c r="G135" s="71">
        <v>1</v>
      </c>
    </row>
    <row r="136" spans="3:7" ht="15">
      <c r="C136" s="46" t="s">
        <v>289</v>
      </c>
      <c r="D136" s="48" t="s">
        <v>237</v>
      </c>
      <c r="E136" s="48" t="s">
        <v>290</v>
      </c>
      <c r="F136" s="70">
        <v>28.410404</v>
      </c>
      <c r="G136" s="71">
        <v>1</v>
      </c>
    </row>
    <row r="137" spans="3:7" ht="15">
      <c r="C137" s="46" t="s">
        <v>291</v>
      </c>
      <c r="D137" s="48" t="s">
        <v>237</v>
      </c>
      <c r="E137" s="48" t="s">
        <v>292</v>
      </c>
      <c r="F137" s="70">
        <v>28.136555</v>
      </c>
      <c r="G137" s="71">
        <v>1</v>
      </c>
    </row>
    <row r="138" spans="3:7" ht="15">
      <c r="C138" s="46" t="s">
        <v>293</v>
      </c>
      <c r="D138" s="48" t="s">
        <v>237</v>
      </c>
      <c r="E138" s="48" t="s">
        <v>294</v>
      </c>
      <c r="F138" s="70">
        <v>27.965734</v>
      </c>
      <c r="G138" s="71">
        <v>1</v>
      </c>
    </row>
    <row r="139" spans="3:7" ht="15">
      <c r="C139" s="46" t="s">
        <v>295</v>
      </c>
      <c r="D139" s="48" t="s">
        <v>237</v>
      </c>
      <c r="E139" s="48" t="s">
        <v>296</v>
      </c>
      <c r="F139" s="70">
        <v>27.951947</v>
      </c>
      <c r="G139" s="71">
        <v>1</v>
      </c>
    </row>
    <row r="140" spans="3:7" ht="15">
      <c r="C140" s="46" t="s">
        <v>297</v>
      </c>
      <c r="D140" s="48" t="s">
        <v>237</v>
      </c>
      <c r="E140" s="48" t="s">
        <v>298</v>
      </c>
      <c r="F140" s="70">
        <v>27.572123</v>
      </c>
      <c r="G140" s="71">
        <v>1</v>
      </c>
    </row>
    <row r="141" spans="3:7" ht="15">
      <c r="C141" s="46" t="s">
        <v>299</v>
      </c>
      <c r="D141" s="48" t="s">
        <v>237</v>
      </c>
      <c r="E141" s="48" t="s">
        <v>300</v>
      </c>
      <c r="F141" s="70">
        <v>27.262125</v>
      </c>
      <c r="G141" s="71">
        <v>1</v>
      </c>
    </row>
    <row r="142" spans="3:7" ht="15">
      <c r="C142" s="46" t="s">
        <v>301</v>
      </c>
      <c r="D142" s="48" t="s">
        <v>237</v>
      </c>
      <c r="E142" s="48" t="s">
        <v>302</v>
      </c>
      <c r="F142" s="70">
        <v>27.2309</v>
      </c>
      <c r="G142" s="71">
        <v>1</v>
      </c>
    </row>
    <row r="143" spans="3:7" ht="15">
      <c r="C143" s="46" t="s">
        <v>303</v>
      </c>
      <c r="D143" s="48" t="s">
        <v>237</v>
      </c>
      <c r="E143" s="48" t="s">
        <v>304</v>
      </c>
      <c r="F143" s="70">
        <v>25.350594</v>
      </c>
      <c r="G143" s="71">
        <v>1</v>
      </c>
    </row>
    <row r="144" spans="3:7" ht="15">
      <c r="C144" s="46" t="s">
        <v>305</v>
      </c>
      <c r="D144" s="48" t="s">
        <v>237</v>
      </c>
      <c r="E144" s="48" t="s">
        <v>306</v>
      </c>
      <c r="F144" s="70">
        <v>25.321103</v>
      </c>
      <c r="G144" s="71">
        <v>1</v>
      </c>
    </row>
    <row r="145" spans="3:7" ht="15">
      <c r="C145" s="46" t="s">
        <v>307</v>
      </c>
      <c r="D145" s="48" t="s">
        <v>237</v>
      </c>
      <c r="E145" s="48" t="s">
        <v>308</v>
      </c>
      <c r="F145" s="70">
        <v>25.100412</v>
      </c>
      <c r="G145" s="71">
        <v>1</v>
      </c>
    </row>
    <row r="146" spans="3:7" ht="15">
      <c r="C146" s="46" t="s">
        <v>309</v>
      </c>
      <c r="D146" s="48" t="s">
        <v>237</v>
      </c>
      <c r="E146" s="48" t="s">
        <v>310</v>
      </c>
      <c r="F146" s="70">
        <v>24.65099</v>
      </c>
      <c r="G146" s="71">
        <v>1</v>
      </c>
    </row>
    <row r="147" spans="3:7" ht="15">
      <c r="C147" s="46" t="s">
        <v>311</v>
      </c>
      <c r="D147" s="48" t="s">
        <v>237</v>
      </c>
      <c r="E147" s="48" t="s">
        <v>312</v>
      </c>
      <c r="F147" s="70">
        <v>23.710519</v>
      </c>
      <c r="G147" s="71">
        <v>1</v>
      </c>
    </row>
    <row r="148" spans="3:7" ht="15">
      <c r="C148" s="46" t="s">
        <v>313</v>
      </c>
      <c r="D148" s="48" t="s">
        <v>237</v>
      </c>
      <c r="E148" s="48" t="s">
        <v>314</v>
      </c>
      <c r="F148" s="70">
        <v>23.353419</v>
      </c>
      <c r="G148" s="71">
        <v>1</v>
      </c>
    </row>
    <row r="149" spans="3:7" ht="15">
      <c r="C149" s="46" t="s">
        <v>315</v>
      </c>
      <c r="D149" s="48" t="s">
        <v>237</v>
      </c>
      <c r="E149" s="48" t="s">
        <v>316</v>
      </c>
      <c r="F149" s="70">
        <v>22.989583</v>
      </c>
      <c r="G149" s="71">
        <v>1</v>
      </c>
    </row>
    <row r="150" spans="3:7" ht="15">
      <c r="C150" s="46" t="s">
        <v>317</v>
      </c>
      <c r="D150" s="48" t="s">
        <v>237</v>
      </c>
      <c r="E150" s="48" t="s">
        <v>318</v>
      </c>
      <c r="F150" s="70">
        <v>22.881341</v>
      </c>
      <c r="G150" s="71">
        <v>1</v>
      </c>
    </row>
    <row r="151" spans="3:7" ht="15">
      <c r="C151" s="46" t="s">
        <v>319</v>
      </c>
      <c r="D151" s="48" t="s">
        <v>237</v>
      </c>
      <c r="E151" s="48" t="s">
        <v>320</v>
      </c>
      <c r="F151" s="70">
        <v>22.282532</v>
      </c>
      <c r="G151" s="71">
        <v>1</v>
      </c>
    </row>
    <row r="152" spans="3:7" ht="15">
      <c r="C152" s="46" t="s">
        <v>321</v>
      </c>
      <c r="D152" s="48" t="s">
        <v>237</v>
      </c>
      <c r="E152" s="48" t="s">
        <v>322</v>
      </c>
      <c r="F152" s="70">
        <v>21.150222</v>
      </c>
      <c r="G152" s="71">
        <v>1</v>
      </c>
    </row>
    <row r="153" spans="3:7" ht="15">
      <c r="C153" s="46" t="s">
        <v>323</v>
      </c>
      <c r="D153" s="48" t="s">
        <v>237</v>
      </c>
      <c r="E153" s="48" t="s">
        <v>324</v>
      </c>
      <c r="F153" s="70">
        <v>21.032912</v>
      </c>
      <c r="G153" s="71">
        <v>1</v>
      </c>
    </row>
    <row r="154" spans="3:7" ht="15">
      <c r="C154" s="46" t="s">
        <v>325</v>
      </c>
      <c r="D154" s="48" t="s">
        <v>237</v>
      </c>
      <c r="E154" s="48" t="s">
        <v>326</v>
      </c>
      <c r="F154" s="70">
        <v>20.817625</v>
      </c>
      <c r="G154" s="71">
        <v>1</v>
      </c>
    </row>
    <row r="155" spans="3:7" ht="15">
      <c r="C155" s="46" t="s">
        <v>327</v>
      </c>
      <c r="D155" s="48" t="s">
        <v>237</v>
      </c>
      <c r="E155" s="48" t="s">
        <v>328</v>
      </c>
      <c r="F155" s="70">
        <v>18.718008</v>
      </c>
      <c r="G155" s="71">
        <v>1</v>
      </c>
    </row>
    <row r="156" spans="3:7" ht="15">
      <c r="C156" s="46" t="s">
        <v>329</v>
      </c>
      <c r="D156" s="48" t="s">
        <v>237</v>
      </c>
      <c r="E156" s="48" t="s">
        <v>330</v>
      </c>
      <c r="F156" s="70">
        <v>18.684974</v>
      </c>
      <c r="G156" s="71">
        <v>1</v>
      </c>
    </row>
    <row r="157" spans="3:7" ht="15">
      <c r="C157" s="46" t="s">
        <v>331</v>
      </c>
      <c r="D157" s="48" t="s">
        <v>237</v>
      </c>
      <c r="E157" s="48" t="s">
        <v>332</v>
      </c>
      <c r="F157" s="70">
        <v>17.425543</v>
      </c>
      <c r="G157" s="71">
        <v>1</v>
      </c>
    </row>
    <row r="158" spans="3:7" ht="15">
      <c r="C158" s="46" t="s">
        <v>333</v>
      </c>
      <c r="D158" s="48" t="s">
        <v>237</v>
      </c>
      <c r="E158" s="48" t="s">
        <v>334</v>
      </c>
      <c r="F158" s="70">
        <v>16.496467</v>
      </c>
      <c r="G158" s="71">
        <v>1</v>
      </c>
    </row>
    <row r="159" spans="3:7" ht="15">
      <c r="C159" s="46" t="s">
        <v>335</v>
      </c>
      <c r="D159" s="48" t="s">
        <v>237</v>
      </c>
      <c r="E159" s="48" t="s">
        <v>336</v>
      </c>
      <c r="F159" s="70">
        <v>13.27445</v>
      </c>
      <c r="G159" s="71">
        <v>1</v>
      </c>
    </row>
    <row r="160" spans="3:7" ht="15">
      <c r="C160" s="46" t="s">
        <v>337</v>
      </c>
      <c r="D160" s="48" t="s">
        <v>237</v>
      </c>
      <c r="E160" s="48" t="s">
        <v>338</v>
      </c>
      <c r="F160" s="70">
        <v>12.840708</v>
      </c>
      <c r="G160" s="71">
        <v>2</v>
      </c>
    </row>
    <row r="161" spans="3:7" ht="15">
      <c r="C161" s="46" t="s">
        <v>339</v>
      </c>
      <c r="D161" s="48" t="s">
        <v>237</v>
      </c>
      <c r="E161" s="48" t="s">
        <v>340</v>
      </c>
      <c r="F161" s="70">
        <v>12.554436</v>
      </c>
      <c r="G161" s="71">
        <v>3</v>
      </c>
    </row>
    <row r="162" spans="3:7" ht="15">
      <c r="C162" s="46" t="s">
        <v>341</v>
      </c>
      <c r="D162" s="48" t="s">
        <v>237</v>
      </c>
      <c r="E162" s="48" t="s">
        <v>342</v>
      </c>
      <c r="F162" s="70">
        <v>12.507841</v>
      </c>
      <c r="G162" s="71">
        <v>4</v>
      </c>
    </row>
    <row r="163" spans="3:7" ht="15">
      <c r="C163" s="46" t="s">
        <v>343</v>
      </c>
      <c r="D163" s="48" t="s">
        <v>237</v>
      </c>
      <c r="E163" s="48" t="s">
        <v>344</v>
      </c>
      <c r="F163" s="70">
        <v>12.378773</v>
      </c>
      <c r="G163" s="71">
        <v>5</v>
      </c>
    </row>
    <row r="164" spans="3:7" ht="15">
      <c r="C164" s="46" t="s">
        <v>345</v>
      </c>
      <c r="D164" s="48" t="s">
        <v>237</v>
      </c>
      <c r="E164" s="48" t="s">
        <v>346</v>
      </c>
      <c r="F164" s="70">
        <v>10.492635</v>
      </c>
      <c r="G164" s="71">
        <v>1</v>
      </c>
    </row>
    <row r="165" spans="3:7" ht="15">
      <c r="C165" s="46" t="s">
        <v>347</v>
      </c>
      <c r="D165" s="48" t="s">
        <v>237</v>
      </c>
      <c r="E165" s="48" t="s">
        <v>348</v>
      </c>
      <c r="F165" s="70">
        <v>10.291151</v>
      </c>
      <c r="G165" s="71">
        <v>1</v>
      </c>
    </row>
    <row r="166" spans="3:7" ht="15">
      <c r="C166" s="46" t="s">
        <v>349</v>
      </c>
      <c r="D166" s="48" t="s">
        <v>237</v>
      </c>
      <c r="E166" s="48" t="s">
        <v>350</v>
      </c>
      <c r="F166" s="70">
        <v>8.732145</v>
      </c>
      <c r="G166" s="71">
        <v>1</v>
      </c>
    </row>
    <row r="167" spans="3:7" ht="15">
      <c r="C167" s="46" t="s">
        <v>351</v>
      </c>
      <c r="D167" s="48" t="s">
        <v>237</v>
      </c>
      <c r="E167" s="48" t="s">
        <v>352</v>
      </c>
      <c r="F167" s="70">
        <v>8.286272</v>
      </c>
      <c r="G167" s="71">
        <v>1</v>
      </c>
    </row>
    <row r="168" spans="3:7" ht="15">
      <c r="C168" s="46" t="s">
        <v>353</v>
      </c>
      <c r="D168" s="48" t="s">
        <v>237</v>
      </c>
      <c r="E168" s="48" t="s">
        <v>354</v>
      </c>
      <c r="F168" s="70">
        <v>7.884294</v>
      </c>
      <c r="G168" s="71">
        <v>1</v>
      </c>
    </row>
    <row r="169" spans="3:7" ht="15">
      <c r="C169" s="46" t="s">
        <v>355</v>
      </c>
      <c r="D169" s="48" t="s">
        <v>237</v>
      </c>
      <c r="E169" s="48" t="s">
        <v>356</v>
      </c>
      <c r="F169" s="70">
        <v>7.655816</v>
      </c>
      <c r="G169" s="71">
        <v>1</v>
      </c>
    </row>
    <row r="170" spans="3:7" ht="19.95" customHeight="1">
      <c r="C170" s="46" t="s">
        <v>357</v>
      </c>
      <c r="D170" s="48" t="s">
        <v>237</v>
      </c>
      <c r="E170" s="48" t="s">
        <v>358</v>
      </c>
      <c r="F170" s="70">
        <v>7.337208</v>
      </c>
      <c r="G170" s="71">
        <v>2</v>
      </c>
    </row>
    <row r="171" spans="3:7" ht="15">
      <c r="C171" s="46" t="s">
        <v>359</v>
      </c>
      <c r="D171" s="48" t="s">
        <v>237</v>
      </c>
      <c r="E171" s="48" t="s">
        <v>360</v>
      </c>
      <c r="F171" s="70">
        <v>6.340876</v>
      </c>
      <c r="G171" s="71">
        <v>1</v>
      </c>
    </row>
    <row r="172" spans="3:7" ht="15">
      <c r="C172" s="46" t="s">
        <v>361</v>
      </c>
      <c r="D172" s="48" t="s">
        <v>237</v>
      </c>
      <c r="E172" s="48" t="s">
        <v>362</v>
      </c>
      <c r="F172" s="70">
        <v>5.901752</v>
      </c>
      <c r="G172" s="71">
        <v>1</v>
      </c>
    </row>
    <row r="173" spans="3:7" ht="15">
      <c r="C173" s="46" t="s">
        <v>363</v>
      </c>
      <c r="D173" s="48" t="s">
        <v>237</v>
      </c>
      <c r="E173" s="48" t="s">
        <v>364</v>
      </c>
      <c r="F173" s="70">
        <v>4.447669</v>
      </c>
      <c r="G173" s="71">
        <v>1</v>
      </c>
    </row>
    <row r="174" spans="3:7" ht="15">
      <c r="C174" s="46" t="s">
        <v>365</v>
      </c>
      <c r="D174" s="48" t="s">
        <v>237</v>
      </c>
      <c r="E174" s="48" t="s">
        <v>366</v>
      </c>
      <c r="F174" s="70">
        <v>4</v>
      </c>
      <c r="G174" s="71">
        <v>1</v>
      </c>
    </row>
    <row r="175" spans="3:7" ht="15">
      <c r="C175" s="46" t="s">
        <v>367</v>
      </c>
      <c r="D175" s="48" t="s">
        <v>237</v>
      </c>
      <c r="E175" s="48" t="s">
        <v>368</v>
      </c>
      <c r="F175" s="70">
        <v>2.737335</v>
      </c>
      <c r="G175" s="71">
        <v>1</v>
      </c>
    </row>
    <row r="176" spans="3:7" ht="15">
      <c r="C176" s="46" t="s">
        <v>369</v>
      </c>
      <c r="D176" s="48" t="s">
        <v>237</v>
      </c>
      <c r="E176" s="48" t="s">
        <v>370</v>
      </c>
      <c r="F176" s="70">
        <v>1.153488</v>
      </c>
      <c r="G176" s="71">
        <v>1</v>
      </c>
    </row>
    <row r="177" spans="3:7" ht="15">
      <c r="C177" s="46" t="s">
        <v>371</v>
      </c>
      <c r="D177" s="48" t="s">
        <v>237</v>
      </c>
      <c r="E177" s="48" t="s">
        <v>372</v>
      </c>
      <c r="F177" s="70">
        <v>0.028372</v>
      </c>
      <c r="G177" s="71">
        <v>1</v>
      </c>
    </row>
    <row r="178" spans="3:7" ht="15">
      <c r="C178" s="46" t="s">
        <v>373</v>
      </c>
      <c r="D178" s="48" t="s">
        <v>237</v>
      </c>
      <c r="E178" s="48" t="s">
        <v>374</v>
      </c>
      <c r="F178" s="70">
        <v>0.005302</v>
      </c>
      <c r="G178" s="71">
        <v>1</v>
      </c>
    </row>
    <row r="179" spans="3:7" ht="15">
      <c r="C179" s="46" t="s">
        <v>375</v>
      </c>
      <c r="D179" s="48" t="s">
        <v>237</v>
      </c>
      <c r="E179" s="48" t="s">
        <v>376</v>
      </c>
      <c r="F179" s="70">
        <v>0</v>
      </c>
      <c r="G179" s="71">
        <v>1</v>
      </c>
    </row>
    <row r="180" spans="3:7" ht="15">
      <c r="C180" s="46" t="s">
        <v>377</v>
      </c>
      <c r="D180" s="48" t="s">
        <v>237</v>
      </c>
      <c r="E180" s="72" t="s">
        <v>378</v>
      </c>
      <c r="F180" s="70">
        <v>0</v>
      </c>
      <c r="G180" s="71">
        <v>1</v>
      </c>
    </row>
    <row r="181" spans="3:7" ht="15">
      <c r="C181" s="46" t="s">
        <v>379</v>
      </c>
      <c r="D181" s="48" t="s">
        <v>237</v>
      </c>
      <c r="E181" s="72" t="s">
        <v>380</v>
      </c>
      <c r="F181" s="70">
        <v>0</v>
      </c>
      <c r="G181" s="71">
        <v>1</v>
      </c>
    </row>
    <row r="182" spans="3:7" ht="15">
      <c r="C182" s="46" t="s">
        <v>381</v>
      </c>
      <c r="D182" s="48" t="s">
        <v>237</v>
      </c>
      <c r="E182" s="72" t="s">
        <v>382</v>
      </c>
      <c r="F182" s="70">
        <v>0</v>
      </c>
      <c r="G182" s="71">
        <v>1</v>
      </c>
    </row>
    <row r="183" spans="3:7" ht="15">
      <c r="C183" s="46" t="s">
        <v>383</v>
      </c>
      <c r="D183" s="48" t="s">
        <v>237</v>
      </c>
      <c r="E183" s="72" t="s">
        <v>384</v>
      </c>
      <c r="F183" s="70">
        <v>0</v>
      </c>
      <c r="G183" s="71">
        <v>1</v>
      </c>
    </row>
    <row r="184" spans="3:7" ht="15">
      <c r="C184" s="46" t="s">
        <v>385</v>
      </c>
      <c r="D184" s="48" t="s">
        <v>237</v>
      </c>
      <c r="E184" s="72" t="s">
        <v>386</v>
      </c>
      <c r="F184" s="70">
        <v>0</v>
      </c>
      <c r="G184" s="71">
        <v>1</v>
      </c>
    </row>
    <row r="185" spans="3:7" ht="15">
      <c r="C185" s="46" t="s">
        <v>231</v>
      </c>
      <c r="D185" s="48" t="s">
        <v>237</v>
      </c>
      <c r="E185" s="72" t="s">
        <v>387</v>
      </c>
      <c r="F185" s="70">
        <v>0</v>
      </c>
      <c r="G185" s="71">
        <v>1</v>
      </c>
    </row>
    <row r="186" spans="3:7" ht="15">
      <c r="C186" s="46" t="s">
        <v>388</v>
      </c>
      <c r="D186" s="48" t="s">
        <v>232</v>
      </c>
      <c r="E186" s="72" t="s">
        <v>389</v>
      </c>
      <c r="F186" s="70">
        <v>6.691159</v>
      </c>
      <c r="G186" s="71">
        <v>1</v>
      </c>
    </row>
    <row r="187" spans="3:7" ht="15">
      <c r="C187" s="46" t="s">
        <v>390</v>
      </c>
      <c r="D187" s="48" t="s">
        <v>44</v>
      </c>
      <c r="E187" s="72" t="s">
        <v>391</v>
      </c>
      <c r="F187" s="70">
        <v>0</v>
      </c>
      <c r="G187" s="71">
        <v>1</v>
      </c>
    </row>
    <row r="188" spans="3:7" ht="15">
      <c r="C188" s="46" t="s">
        <v>392</v>
      </c>
      <c r="D188" s="48" t="s">
        <v>44</v>
      </c>
      <c r="E188" s="72" t="s">
        <v>393</v>
      </c>
      <c r="F188" s="70">
        <v>0</v>
      </c>
      <c r="G188" s="71">
        <v>1</v>
      </c>
    </row>
    <row r="189" spans="3:7" ht="15">
      <c r="C189" s="46" t="s">
        <v>394</v>
      </c>
      <c r="D189" s="48" t="s">
        <v>44</v>
      </c>
      <c r="E189" s="72" t="s">
        <v>395</v>
      </c>
      <c r="F189" s="70">
        <v>0</v>
      </c>
      <c r="G189" s="71">
        <v>1</v>
      </c>
    </row>
    <row r="190" spans="3:7" ht="15">
      <c r="C190" s="46" t="s">
        <v>396</v>
      </c>
      <c r="D190" s="48" t="s">
        <v>44</v>
      </c>
      <c r="E190" s="72" t="s">
        <v>397</v>
      </c>
      <c r="F190" s="70">
        <v>0</v>
      </c>
      <c r="G190" s="71">
        <v>1</v>
      </c>
    </row>
    <row r="191" spans="3:7" ht="15">
      <c r="C191" s="46" t="s">
        <v>398</v>
      </c>
      <c r="D191" s="48" t="s">
        <v>108</v>
      </c>
      <c r="E191" s="72" t="s">
        <v>399</v>
      </c>
      <c r="F191" s="70">
        <v>0</v>
      </c>
      <c r="G191" s="71">
        <v>1</v>
      </c>
    </row>
    <row r="192" spans="3:31" ht="15">
      <c r="C192" s="46" t="s">
        <v>400</v>
      </c>
      <c r="D192" s="48" t="s">
        <v>44</v>
      </c>
      <c r="E192" s="72" t="s">
        <v>401</v>
      </c>
      <c r="F192" s="70">
        <v>0.155571</v>
      </c>
      <c r="G192" s="71">
        <v>1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</sheetData>
  <mergeCells count="7">
    <mergeCell ref="AB5:AE5"/>
    <mergeCell ref="C2:E2"/>
    <mergeCell ref="C3:E4"/>
    <mergeCell ref="H5:K5"/>
    <mergeCell ref="M5:P5"/>
    <mergeCell ref="R5:U5"/>
    <mergeCell ref="W5:Z5"/>
  </mergeCells>
  <conditionalFormatting sqref="G7:AE99">
    <cfRule type="cellIs" priority="1" dxfId="1" operator="equal">
      <formula>""""""</formula>
    </cfRule>
    <cfRule type="cellIs" priority="2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4F013-C97D-45F0-AC83-B235F4D3537E}">
  <dimension ref="A1:BQ180"/>
  <sheetViews>
    <sheetView workbookViewId="0" topLeftCell="AQ1">
      <selection activeCell="BE9" sqref="BE9"/>
    </sheetView>
  </sheetViews>
  <sheetFormatPr defaultColWidth="9.140625" defaultRowHeight="15"/>
  <cols>
    <col min="1" max="1" width="44.140625" style="0" customWidth="1"/>
    <col min="2" max="2" width="46.140625" style="0" customWidth="1"/>
    <col min="3" max="28" width="8.8515625" style="0" customWidth="1"/>
  </cols>
  <sheetData>
    <row r="1" spans="1:67" ht="15">
      <c r="A1" s="194" t="s">
        <v>8</v>
      </c>
      <c r="B1" s="191" t="s">
        <v>9</v>
      </c>
      <c r="C1" s="184">
        <v>2018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6"/>
      <c r="P1" s="184">
        <v>2019</v>
      </c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6"/>
      <c r="AC1" s="184">
        <v>2020</v>
      </c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6"/>
      <c r="AP1" s="184">
        <v>2021</v>
      </c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6"/>
      <c r="BC1" s="177">
        <v>2022</v>
      </c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9"/>
    </row>
    <row r="2" spans="1:67" ht="14.4" customHeight="1">
      <c r="A2" s="195"/>
      <c r="B2" s="192"/>
      <c r="C2" s="187" t="s">
        <v>415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9" t="s">
        <v>476</v>
      </c>
      <c r="P2" s="187" t="s">
        <v>415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9" t="s">
        <v>416</v>
      </c>
      <c r="AC2" s="187" t="s">
        <v>415</v>
      </c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9" t="s">
        <v>641</v>
      </c>
      <c r="AP2" s="187" t="s">
        <v>415</v>
      </c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9" t="s">
        <v>641</v>
      </c>
      <c r="BC2" s="180" t="s">
        <v>415</v>
      </c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2" t="s">
        <v>641</v>
      </c>
    </row>
    <row r="3" spans="1:67" ht="68.4" customHeight="1" thickBot="1">
      <c r="A3" s="196"/>
      <c r="B3" s="193"/>
      <c r="C3" s="77" t="s">
        <v>403</v>
      </c>
      <c r="D3" s="76" t="s">
        <v>404</v>
      </c>
      <c r="E3" s="76" t="s">
        <v>405</v>
      </c>
      <c r="F3" s="76" t="s">
        <v>406</v>
      </c>
      <c r="G3" s="76" t="s">
        <v>407</v>
      </c>
      <c r="H3" s="76" t="s">
        <v>408</v>
      </c>
      <c r="I3" s="76" t="s">
        <v>409</v>
      </c>
      <c r="J3" s="76" t="s">
        <v>410</v>
      </c>
      <c r="K3" s="76" t="s">
        <v>411</v>
      </c>
      <c r="L3" s="76" t="s">
        <v>412</v>
      </c>
      <c r="M3" s="76" t="s">
        <v>413</v>
      </c>
      <c r="N3" s="76" t="s">
        <v>414</v>
      </c>
      <c r="O3" s="190"/>
      <c r="P3" s="77" t="s">
        <v>403</v>
      </c>
      <c r="Q3" s="76" t="s">
        <v>404</v>
      </c>
      <c r="R3" s="76" t="s">
        <v>405</v>
      </c>
      <c r="S3" s="76" t="s">
        <v>406</v>
      </c>
      <c r="T3" s="76" t="s">
        <v>407</v>
      </c>
      <c r="U3" s="76" t="s">
        <v>408</v>
      </c>
      <c r="V3" s="76" t="s">
        <v>409</v>
      </c>
      <c r="W3" s="76" t="s">
        <v>410</v>
      </c>
      <c r="X3" s="76" t="s">
        <v>411</v>
      </c>
      <c r="Y3" s="76" t="s">
        <v>412</v>
      </c>
      <c r="Z3" s="76" t="s">
        <v>413</v>
      </c>
      <c r="AA3" s="76" t="s">
        <v>414</v>
      </c>
      <c r="AB3" s="190"/>
      <c r="AC3" s="77" t="s">
        <v>403</v>
      </c>
      <c r="AD3" s="76" t="s">
        <v>404</v>
      </c>
      <c r="AE3" s="76" t="s">
        <v>405</v>
      </c>
      <c r="AF3" s="76" t="s">
        <v>406</v>
      </c>
      <c r="AG3" s="76" t="s">
        <v>407</v>
      </c>
      <c r="AH3" s="76" t="s">
        <v>408</v>
      </c>
      <c r="AI3" s="76" t="s">
        <v>409</v>
      </c>
      <c r="AJ3" s="76" t="s">
        <v>410</v>
      </c>
      <c r="AK3" s="76" t="s">
        <v>411</v>
      </c>
      <c r="AL3" s="76" t="s">
        <v>412</v>
      </c>
      <c r="AM3" s="76" t="s">
        <v>413</v>
      </c>
      <c r="AN3" s="76" t="s">
        <v>414</v>
      </c>
      <c r="AO3" s="190"/>
      <c r="AP3" s="77" t="s">
        <v>403</v>
      </c>
      <c r="AQ3" s="76" t="s">
        <v>404</v>
      </c>
      <c r="AR3" s="76" t="s">
        <v>405</v>
      </c>
      <c r="AS3" s="76" t="s">
        <v>406</v>
      </c>
      <c r="AT3" s="76" t="s">
        <v>407</v>
      </c>
      <c r="AU3" s="76" t="s">
        <v>408</v>
      </c>
      <c r="AV3" s="76" t="s">
        <v>409</v>
      </c>
      <c r="AW3" s="76" t="s">
        <v>410</v>
      </c>
      <c r="AX3" s="76" t="s">
        <v>411</v>
      </c>
      <c r="AY3" s="76" t="s">
        <v>412</v>
      </c>
      <c r="AZ3" s="76" t="s">
        <v>413</v>
      </c>
      <c r="BA3" s="76" t="s">
        <v>414</v>
      </c>
      <c r="BB3" s="190"/>
      <c r="BC3" s="170" t="s">
        <v>403</v>
      </c>
      <c r="BD3" s="171" t="s">
        <v>404</v>
      </c>
      <c r="BE3" s="171" t="s">
        <v>405</v>
      </c>
      <c r="BF3" s="171" t="s">
        <v>406</v>
      </c>
      <c r="BG3" s="171" t="s">
        <v>407</v>
      </c>
      <c r="BH3" s="171" t="s">
        <v>408</v>
      </c>
      <c r="BI3" s="171" t="s">
        <v>409</v>
      </c>
      <c r="BJ3" s="171" t="s">
        <v>410</v>
      </c>
      <c r="BK3" s="171" t="s">
        <v>411</v>
      </c>
      <c r="BL3" s="171" t="s">
        <v>412</v>
      </c>
      <c r="BM3" s="171" t="s">
        <v>413</v>
      </c>
      <c r="BN3" s="171" t="s">
        <v>414</v>
      </c>
      <c r="BO3" s="183"/>
    </row>
    <row r="4" spans="1:69" ht="15">
      <c r="A4" s="92" t="s">
        <v>18</v>
      </c>
      <c r="B4" s="100" t="s">
        <v>19</v>
      </c>
      <c r="C4" s="78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9">
        <f>'Seznam OM'!R7+'Seznam OM'!W7</f>
        <v>3444.069</v>
      </c>
      <c r="P4" s="78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9">
        <f>'Seznam OM'!S7+'Seznam OM'!X7</f>
        <v>3674.644</v>
      </c>
      <c r="AC4" s="78">
        <v>541</v>
      </c>
      <c r="AD4" s="75">
        <v>421</v>
      </c>
      <c r="AE4" s="75">
        <v>380</v>
      </c>
      <c r="AF4" s="75">
        <v>243</v>
      </c>
      <c r="AG4" s="75">
        <v>133</v>
      </c>
      <c r="AH4" s="75">
        <v>82</v>
      </c>
      <c r="AI4" s="75">
        <v>70</v>
      </c>
      <c r="AJ4" s="75">
        <v>138</v>
      </c>
      <c r="AK4" s="75">
        <v>230</v>
      </c>
      <c r="AL4" s="75">
        <v>261</v>
      </c>
      <c r="AM4" s="75">
        <v>316</v>
      </c>
      <c r="AN4" s="75">
        <v>401</v>
      </c>
      <c r="AO4" s="79">
        <v>3215</v>
      </c>
      <c r="AP4" s="78">
        <v>412</v>
      </c>
      <c r="AQ4" s="75">
        <v>368</v>
      </c>
      <c r="AR4" s="75">
        <v>341</v>
      </c>
      <c r="AS4" s="75">
        <v>263</v>
      </c>
      <c r="AT4" s="75">
        <v>120</v>
      </c>
      <c r="AU4" s="75">
        <v>70</v>
      </c>
      <c r="AV4" s="75">
        <v>81</v>
      </c>
      <c r="AW4" s="75">
        <v>159</v>
      </c>
      <c r="AX4" s="75">
        <v>257</v>
      </c>
      <c r="AY4" s="75">
        <v>350</v>
      </c>
      <c r="AZ4" s="75">
        <v>389</v>
      </c>
      <c r="BA4" s="75">
        <v>430</v>
      </c>
      <c r="BB4" s="79">
        <f>(SUM(AP4:BA4)+SUM(AC4:AN4))/2</f>
        <v>3228</v>
      </c>
      <c r="BC4" s="78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9">
        <f>(SUM(BC4:BN4)+SUM(AP4:BA4))/2</f>
        <v>1620</v>
      </c>
      <c r="BP4">
        <f>'Spotřeba zemního plynu'!BB4</f>
        <v>1021.5</v>
      </c>
      <c r="BQ4">
        <f>(BB4/3.6)/'Spotřeba zemního plynu'!BB4</f>
        <v>0.8777940936531244</v>
      </c>
    </row>
    <row r="5" spans="1:68" ht="15">
      <c r="A5" s="93" t="s">
        <v>21</v>
      </c>
      <c r="B5" s="101" t="s">
        <v>22</v>
      </c>
      <c r="C5" s="80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81">
        <f>'Seznam OM'!R8+'Seznam OM'!W8</f>
        <v>865.504</v>
      </c>
      <c r="P5" s="80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9">
        <f>'Seznam OM'!S8+'Seznam OM'!X8</f>
        <v>0</v>
      </c>
      <c r="AC5" s="80">
        <v>168</v>
      </c>
      <c r="AD5" s="73">
        <v>116</v>
      </c>
      <c r="AE5" s="73">
        <v>113</v>
      </c>
      <c r="AF5" s="73">
        <v>61</v>
      </c>
      <c r="AG5" s="73">
        <v>44</v>
      </c>
      <c r="AH5" s="73">
        <v>10</v>
      </c>
      <c r="AI5" s="73">
        <v>10</v>
      </c>
      <c r="AJ5" s="73">
        <v>9</v>
      </c>
      <c r="AK5" s="73">
        <v>13</v>
      </c>
      <c r="AL5" s="73">
        <v>80</v>
      </c>
      <c r="AM5" s="73">
        <v>116</v>
      </c>
      <c r="AN5" s="73">
        <v>154</v>
      </c>
      <c r="AO5" s="81">
        <v>895</v>
      </c>
      <c r="AP5" s="80">
        <v>169</v>
      </c>
      <c r="AQ5" s="73">
        <v>149</v>
      </c>
      <c r="AR5" s="73">
        <v>141</v>
      </c>
      <c r="AS5" s="73">
        <v>97</v>
      </c>
      <c r="AT5" s="73">
        <v>60</v>
      </c>
      <c r="AU5" s="73">
        <v>13</v>
      </c>
      <c r="AV5" s="73">
        <v>12</v>
      </c>
      <c r="AW5" s="73">
        <v>11</v>
      </c>
      <c r="AX5" s="73">
        <v>23</v>
      </c>
      <c r="AY5" s="73">
        <v>89</v>
      </c>
      <c r="AZ5" s="73">
        <v>113</v>
      </c>
      <c r="BA5" s="73">
        <v>197</v>
      </c>
      <c r="BB5" s="79">
        <f aca="true" t="shared" si="0" ref="BB5:BB9">(SUM(AP5:BA5)+SUM(AC5:AN5))/2</f>
        <v>984</v>
      </c>
      <c r="BC5" s="80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9">
        <f aca="true" t="shared" si="1" ref="BO5:BO9">(SUM(BC5:BN5)+SUM(AP5:BA5))/2</f>
        <v>537</v>
      </c>
      <c r="BP5">
        <f>'Spotřeba zemního plynu'!BB5</f>
        <v>299.5</v>
      </c>
    </row>
    <row r="6" spans="1:68" ht="15">
      <c r="A6" s="94" t="s">
        <v>25</v>
      </c>
      <c r="B6" s="101" t="s">
        <v>26</v>
      </c>
      <c r="C6" s="8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81">
        <f>'Seznam OM'!R9+'Seznam OM'!W9</f>
        <v>3226.021</v>
      </c>
      <c r="P6" s="80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9">
        <f>'Seznam OM'!S9+'Seznam OM'!X9</f>
        <v>3273.238</v>
      </c>
      <c r="AC6" s="80">
        <v>520</v>
      </c>
      <c r="AD6" s="73">
        <v>395</v>
      </c>
      <c r="AE6" s="73">
        <v>299</v>
      </c>
      <c r="AF6" s="73">
        <v>146</v>
      </c>
      <c r="AG6" s="73">
        <v>94</v>
      </c>
      <c r="AH6" s="73">
        <v>52</v>
      </c>
      <c r="AI6" s="73">
        <v>30</v>
      </c>
      <c r="AJ6" s="73">
        <v>56</v>
      </c>
      <c r="AK6" s="73">
        <v>181</v>
      </c>
      <c r="AL6" s="73">
        <v>218</v>
      </c>
      <c r="AM6" s="73">
        <v>218</v>
      </c>
      <c r="AN6" s="73">
        <v>419</v>
      </c>
      <c r="AO6" s="81">
        <v>2625</v>
      </c>
      <c r="AP6" s="80">
        <v>284</v>
      </c>
      <c r="AQ6" s="73">
        <v>249</v>
      </c>
      <c r="AR6" s="73">
        <v>243</v>
      </c>
      <c r="AS6" s="73">
        <v>145</v>
      </c>
      <c r="AT6" s="73">
        <v>92</v>
      </c>
      <c r="AU6" s="73">
        <v>105</v>
      </c>
      <c r="AV6" s="73">
        <v>32</v>
      </c>
      <c r="AW6" s="73">
        <v>87</v>
      </c>
      <c r="AX6" s="73">
        <v>209</v>
      </c>
      <c r="AY6" s="73">
        <v>331</v>
      </c>
      <c r="AZ6" s="73">
        <v>401</v>
      </c>
      <c r="BA6" s="73">
        <v>511</v>
      </c>
      <c r="BB6" s="79">
        <f t="shared" si="0"/>
        <v>2658.5</v>
      </c>
      <c r="BC6" s="80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9">
        <f t="shared" si="1"/>
        <v>1344.5</v>
      </c>
      <c r="BP6">
        <f>'Spotřeba zemního plynu'!BB6</f>
        <v>820.5</v>
      </c>
    </row>
    <row r="7" spans="1:68" ht="15">
      <c r="A7" s="93" t="s">
        <v>28</v>
      </c>
      <c r="B7" s="101" t="s">
        <v>29</v>
      </c>
      <c r="C7" s="80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81">
        <f>'Seznam OM'!R10+'Seznam OM'!W10</f>
        <v>2766.62</v>
      </c>
      <c r="P7" s="80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9">
        <f>'Seznam OM'!S10+'Seznam OM'!X10</f>
        <v>0</v>
      </c>
      <c r="AC7" s="80">
        <v>365</v>
      </c>
      <c r="AD7" s="73">
        <v>276</v>
      </c>
      <c r="AE7" s="73">
        <v>274</v>
      </c>
      <c r="AF7" s="73">
        <v>217</v>
      </c>
      <c r="AG7" s="73">
        <v>192</v>
      </c>
      <c r="AH7" s="73">
        <v>99</v>
      </c>
      <c r="AI7" s="73">
        <v>151</v>
      </c>
      <c r="AJ7" s="73">
        <v>99</v>
      </c>
      <c r="AK7" s="73">
        <v>116</v>
      </c>
      <c r="AL7" s="73">
        <v>265</v>
      </c>
      <c r="AM7" s="73">
        <v>381</v>
      </c>
      <c r="AN7" s="73">
        <v>421</v>
      </c>
      <c r="AO7" s="81">
        <v>2856</v>
      </c>
      <c r="AP7" s="80">
        <v>425</v>
      </c>
      <c r="AQ7" s="73">
        <v>373</v>
      </c>
      <c r="AR7" s="73">
        <v>361</v>
      </c>
      <c r="AS7" s="73">
        <v>286</v>
      </c>
      <c r="AT7" s="73">
        <v>207</v>
      </c>
      <c r="AU7" s="73">
        <v>104</v>
      </c>
      <c r="AV7" s="73">
        <v>94</v>
      </c>
      <c r="AW7" s="73">
        <v>92</v>
      </c>
      <c r="AX7" s="73">
        <v>132</v>
      </c>
      <c r="AY7" s="73">
        <v>260</v>
      </c>
      <c r="AZ7" s="73">
        <v>321</v>
      </c>
      <c r="BA7" s="73">
        <v>371</v>
      </c>
      <c r="BB7" s="79">
        <f t="shared" si="0"/>
        <v>2941</v>
      </c>
      <c r="BC7" s="80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9">
        <f t="shared" si="1"/>
        <v>1513</v>
      </c>
      <c r="BP7">
        <f>'Spotřeba zemního plynu'!BB7</f>
        <v>1241.5</v>
      </c>
    </row>
    <row r="8" spans="1:68" ht="15">
      <c r="A8" s="95" t="s">
        <v>31</v>
      </c>
      <c r="B8" s="102" t="s">
        <v>32</v>
      </c>
      <c r="C8" s="80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81">
        <f>'Seznam OM'!R11+'Seznam OM'!W11</f>
        <v>0</v>
      </c>
      <c r="P8" s="80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9">
        <f>'Seznam OM'!S11+'Seznam OM'!X11</f>
        <v>0</v>
      </c>
      <c r="AC8" s="80">
        <v>263</v>
      </c>
      <c r="AD8" s="73">
        <v>204</v>
      </c>
      <c r="AE8" s="73">
        <v>169</v>
      </c>
      <c r="AF8" s="73">
        <v>62</v>
      </c>
      <c r="AG8" s="73">
        <v>33</v>
      </c>
      <c r="AH8" s="73">
        <v>14</v>
      </c>
      <c r="AI8" s="73">
        <v>15</v>
      </c>
      <c r="AJ8" s="73">
        <v>14</v>
      </c>
      <c r="AK8" s="73">
        <v>28</v>
      </c>
      <c r="AL8" s="73">
        <v>97</v>
      </c>
      <c r="AM8" s="73">
        <v>175</v>
      </c>
      <c r="AN8" s="73">
        <v>323</v>
      </c>
      <c r="AO8" s="81">
        <v>1397</v>
      </c>
      <c r="AP8" s="80">
        <v>266</v>
      </c>
      <c r="AQ8" s="73">
        <v>260</v>
      </c>
      <c r="AR8" s="73">
        <v>203</v>
      </c>
      <c r="AS8" s="73">
        <v>131</v>
      </c>
      <c r="AT8" s="73">
        <v>61</v>
      </c>
      <c r="AU8" s="73">
        <v>15</v>
      </c>
      <c r="AV8" s="73">
        <v>6</v>
      </c>
      <c r="AW8" s="73">
        <v>23</v>
      </c>
      <c r="AX8" s="73">
        <v>27</v>
      </c>
      <c r="AY8" s="73">
        <v>120</v>
      </c>
      <c r="AZ8" s="73">
        <v>208</v>
      </c>
      <c r="BA8" s="73">
        <v>273</v>
      </c>
      <c r="BB8" s="79">
        <f t="shared" si="0"/>
        <v>1495</v>
      </c>
      <c r="BC8" s="80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9">
        <f t="shared" si="1"/>
        <v>796.5</v>
      </c>
      <c r="BP8">
        <f>'Spotřeba zemního plynu'!BB8</f>
        <v>0</v>
      </c>
    </row>
    <row r="9" spans="1:68" ht="15">
      <c r="A9" s="93" t="s">
        <v>34</v>
      </c>
      <c r="B9" s="101" t="s">
        <v>35</v>
      </c>
      <c r="C9" s="80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81">
        <f>'Seznam OM'!R12+'Seznam OM'!W12</f>
        <v>1581.1399999999999</v>
      </c>
      <c r="P9" s="80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9">
        <f>'Seznam OM'!S12+'Seznam OM'!X12</f>
        <v>0</v>
      </c>
      <c r="AC9" s="80">
        <v>317</v>
      </c>
      <c r="AD9" s="73">
        <v>200</v>
      </c>
      <c r="AE9" s="73">
        <v>199</v>
      </c>
      <c r="AF9" s="73">
        <v>105</v>
      </c>
      <c r="AG9" s="73">
        <v>62</v>
      </c>
      <c r="AH9" s="73">
        <v>10</v>
      </c>
      <c r="AI9" s="73">
        <v>9</v>
      </c>
      <c r="AJ9" s="73">
        <v>9</v>
      </c>
      <c r="AK9" s="73">
        <v>13</v>
      </c>
      <c r="AL9" s="73">
        <v>117</v>
      </c>
      <c r="AM9" s="73">
        <v>167</v>
      </c>
      <c r="AN9" s="73">
        <v>202</v>
      </c>
      <c r="AO9" s="81">
        <v>1410</v>
      </c>
      <c r="AP9" s="80">
        <v>297</v>
      </c>
      <c r="AQ9" s="73">
        <v>238</v>
      </c>
      <c r="AR9" s="73">
        <v>229</v>
      </c>
      <c r="AS9" s="73">
        <v>146</v>
      </c>
      <c r="AT9" s="73">
        <v>72</v>
      </c>
      <c r="AU9" s="73">
        <v>9</v>
      </c>
      <c r="AV9" s="73">
        <v>5</v>
      </c>
      <c r="AW9" s="73">
        <v>8</v>
      </c>
      <c r="AX9" s="73">
        <v>21</v>
      </c>
      <c r="AY9" s="73">
        <v>140</v>
      </c>
      <c r="AZ9" s="73">
        <v>193</v>
      </c>
      <c r="BA9" s="73">
        <v>226</v>
      </c>
      <c r="BB9" s="79">
        <f t="shared" si="0"/>
        <v>1497</v>
      </c>
      <c r="BC9" s="80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9">
        <f t="shared" si="1"/>
        <v>792</v>
      </c>
      <c r="BP9">
        <f>'Spotřeba zemního plynu'!BB9</f>
        <v>471.5</v>
      </c>
    </row>
    <row r="10" spans="1:68" ht="36">
      <c r="A10" s="103" t="s">
        <v>37</v>
      </c>
      <c r="B10" s="101" t="s">
        <v>38</v>
      </c>
      <c r="C10" s="80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81">
        <f>'Seznam OM'!R13+'Seznam OM'!W13</f>
        <v>0</v>
      </c>
      <c r="P10" s="80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9">
        <f>'Seznam OM'!S13+'Seznam OM'!X13</f>
        <v>0</v>
      </c>
      <c r="AC10" s="80">
        <v>89</v>
      </c>
      <c r="AD10" s="73">
        <v>55</v>
      </c>
      <c r="AE10" s="73">
        <v>31</v>
      </c>
      <c r="AF10" s="73">
        <v>10</v>
      </c>
      <c r="AG10" s="73">
        <v>5</v>
      </c>
      <c r="AH10" s="73">
        <v>0</v>
      </c>
      <c r="AI10" s="73">
        <v>0</v>
      </c>
      <c r="AJ10" s="73">
        <v>0</v>
      </c>
      <c r="AK10" s="73">
        <v>1</v>
      </c>
      <c r="AL10" s="73">
        <v>8</v>
      </c>
      <c r="AM10" s="73">
        <v>17</v>
      </c>
      <c r="AN10" s="73">
        <v>11</v>
      </c>
      <c r="AO10" s="81">
        <v>227</v>
      </c>
      <c r="AP10" s="80">
        <v>19</v>
      </c>
      <c r="AQ10" s="73">
        <v>23</v>
      </c>
      <c r="AR10" s="73">
        <v>24</v>
      </c>
      <c r="AS10" s="73">
        <v>15</v>
      </c>
      <c r="AT10" s="73">
        <v>6</v>
      </c>
      <c r="AU10" s="73">
        <v>0</v>
      </c>
      <c r="AV10" s="73">
        <v>0</v>
      </c>
      <c r="AW10" s="73">
        <v>0</v>
      </c>
      <c r="AX10" s="73">
        <v>1</v>
      </c>
      <c r="AY10" s="73">
        <v>6</v>
      </c>
      <c r="AZ10" s="73">
        <v>18</v>
      </c>
      <c r="BA10" s="73">
        <v>80</v>
      </c>
      <c r="BB10" s="79">
        <f>(SUM(AP10:BA10)+SUM(AC10:AN10))/2</f>
        <v>209.5</v>
      </c>
      <c r="BC10" s="80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9">
        <f>(SUM(BC10:BN10)+SUM(AP10:BA10))/2</f>
        <v>96</v>
      </c>
      <c r="BP10">
        <f>'Spotřeba zemního plynu'!BB10</f>
        <v>0</v>
      </c>
    </row>
    <row r="11" spans="1:68" ht="15">
      <c r="A11" s="93" t="s">
        <v>40</v>
      </c>
      <c r="B11" s="101" t="s">
        <v>41</v>
      </c>
      <c r="C11" s="80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81">
        <f>'Seznam OM'!R14+'Seznam OM'!W14</f>
        <v>1906.3380000000002</v>
      </c>
      <c r="P11" s="80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9">
        <f>'Seznam OM'!S14+'Seznam OM'!X14</f>
        <v>1885.986</v>
      </c>
      <c r="AC11" s="80">
        <v>392</v>
      </c>
      <c r="AD11" s="73">
        <v>228</v>
      </c>
      <c r="AE11" s="73">
        <v>213</v>
      </c>
      <c r="AF11" s="73">
        <v>95</v>
      </c>
      <c r="AG11" s="73">
        <v>47</v>
      </c>
      <c r="AH11" s="73">
        <v>13</v>
      </c>
      <c r="AI11" s="73">
        <v>11</v>
      </c>
      <c r="AJ11" s="73">
        <v>12</v>
      </c>
      <c r="AK11" s="73">
        <v>28</v>
      </c>
      <c r="AL11" s="73">
        <v>143</v>
      </c>
      <c r="AM11" s="73">
        <v>266</v>
      </c>
      <c r="AN11" s="73">
        <v>309</v>
      </c>
      <c r="AO11" s="81">
        <v>1757</v>
      </c>
      <c r="AP11" s="80">
        <v>396</v>
      </c>
      <c r="AQ11" s="73">
        <v>336</v>
      </c>
      <c r="AR11" s="73">
        <v>300</v>
      </c>
      <c r="AS11" s="73">
        <v>182</v>
      </c>
      <c r="AT11" s="73">
        <v>80</v>
      </c>
      <c r="AU11" s="73">
        <v>15</v>
      </c>
      <c r="AV11" s="73">
        <v>13</v>
      </c>
      <c r="AW11" s="73">
        <v>11</v>
      </c>
      <c r="AX11" s="73">
        <v>34</v>
      </c>
      <c r="AY11" s="73">
        <v>145</v>
      </c>
      <c r="AZ11" s="73">
        <v>253</v>
      </c>
      <c r="BA11" s="73">
        <v>314</v>
      </c>
      <c r="BB11" s="79">
        <f aca="true" t="shared" si="2" ref="BB11:BB74">(SUM(AP11:BA11)+SUM(AC11:AN11))/2</f>
        <v>1918</v>
      </c>
      <c r="BC11" s="80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9">
        <f aca="true" t="shared" si="3" ref="BO11:BO74">(SUM(BC11:BN11)+SUM(AP11:BA11))/2</f>
        <v>1039.5</v>
      </c>
      <c r="BP11">
        <f>'Spotřeba zemního plynu'!BB11</f>
        <v>0</v>
      </c>
    </row>
    <row r="12" spans="1:68" ht="15">
      <c r="A12" s="93" t="s">
        <v>44</v>
      </c>
      <c r="B12" s="101" t="s">
        <v>45</v>
      </c>
      <c r="C12" s="80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81">
        <f>'Seznam OM'!R15+'Seznam OM'!W15</f>
        <v>0</v>
      </c>
      <c r="P12" s="80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9">
        <f>'Seznam OM'!S15+'Seznam OM'!X15</f>
        <v>0</v>
      </c>
      <c r="AC12" s="80">
        <v>82</v>
      </c>
      <c r="AD12" s="73">
        <v>59</v>
      </c>
      <c r="AE12" s="73">
        <v>63</v>
      </c>
      <c r="AF12" s="73">
        <v>45</v>
      </c>
      <c r="AG12" s="73">
        <v>32</v>
      </c>
      <c r="AH12" s="73">
        <v>0</v>
      </c>
      <c r="AI12" s="73">
        <v>0</v>
      </c>
      <c r="AJ12" s="73">
        <v>0</v>
      </c>
      <c r="AK12" s="73">
        <v>2</v>
      </c>
      <c r="AL12" s="73">
        <v>39</v>
      </c>
      <c r="AM12" s="73">
        <v>61</v>
      </c>
      <c r="AN12" s="73">
        <v>72</v>
      </c>
      <c r="AO12" s="81">
        <v>456</v>
      </c>
      <c r="AP12" s="80">
        <v>87</v>
      </c>
      <c r="AQ12" s="73">
        <v>68</v>
      </c>
      <c r="AR12" s="73">
        <v>67</v>
      </c>
      <c r="AS12" s="73">
        <v>53</v>
      </c>
      <c r="AT12" s="73">
        <v>31</v>
      </c>
      <c r="AU12" s="73">
        <v>3</v>
      </c>
      <c r="AV12" s="73">
        <v>0</v>
      </c>
      <c r="AW12" s="73">
        <v>0</v>
      </c>
      <c r="AX12" s="73">
        <v>9</v>
      </c>
      <c r="AY12" s="73">
        <v>44</v>
      </c>
      <c r="AZ12" s="73">
        <v>64</v>
      </c>
      <c r="BA12" s="73">
        <v>80</v>
      </c>
      <c r="BB12" s="79">
        <f t="shared" si="2"/>
        <v>480.5</v>
      </c>
      <c r="BC12" s="80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9">
        <f t="shared" si="3"/>
        <v>253</v>
      </c>
      <c r="BP12">
        <f>'Spotřeba zemního plynu'!BB12</f>
        <v>157</v>
      </c>
    </row>
    <row r="13" spans="1:68" ht="15">
      <c r="A13" s="110" t="s">
        <v>47</v>
      </c>
      <c r="B13" s="85" t="s">
        <v>48</v>
      </c>
      <c r="C13" s="80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81">
        <f>'Seznam OM'!R16+'Seznam OM'!W16</f>
        <v>0</v>
      </c>
      <c r="P13" s="80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9">
        <f>'Seznam OM'!S16+'Seznam OM'!X16</f>
        <v>0</v>
      </c>
      <c r="AC13" s="80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81"/>
      <c r="AP13" s="80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9">
        <f t="shared" si="2"/>
        <v>0</v>
      </c>
      <c r="BC13" s="80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9">
        <f t="shared" si="3"/>
        <v>0</v>
      </c>
      <c r="BP13">
        <f>'Spotřeba zemního plynu'!BB13</f>
        <v>0</v>
      </c>
    </row>
    <row r="14" spans="1:68" ht="15">
      <c r="A14" s="93" t="s">
        <v>50</v>
      </c>
      <c r="B14" s="101" t="s">
        <v>51</v>
      </c>
      <c r="C14" s="80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81">
        <f>'Seznam OM'!R17+'Seznam OM'!W17</f>
        <v>1147.763</v>
      </c>
      <c r="P14" s="80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9">
        <f>'Seznam OM'!S17+'Seznam OM'!X17</f>
        <v>1117.992</v>
      </c>
      <c r="AC14" s="80">
        <v>236</v>
      </c>
      <c r="AD14" s="73">
        <v>147</v>
      </c>
      <c r="AE14" s="73">
        <v>130</v>
      </c>
      <c r="AF14" s="73">
        <v>53</v>
      </c>
      <c r="AG14" s="73">
        <v>35</v>
      </c>
      <c r="AH14" s="73">
        <v>9</v>
      </c>
      <c r="AI14" s="73">
        <v>5</v>
      </c>
      <c r="AJ14" s="73">
        <v>7</v>
      </c>
      <c r="AK14" s="73">
        <v>13</v>
      </c>
      <c r="AL14" s="73">
        <v>94</v>
      </c>
      <c r="AM14" s="73">
        <v>152</v>
      </c>
      <c r="AN14" s="73">
        <v>188</v>
      </c>
      <c r="AO14" s="81">
        <v>1068</v>
      </c>
      <c r="AP14" s="80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9">
        <f t="shared" si="2"/>
        <v>534.5</v>
      </c>
      <c r="BC14" s="80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9">
        <f t="shared" si="3"/>
        <v>0</v>
      </c>
      <c r="BP14">
        <f>'Spotřeba zemního plynu'!BB14</f>
        <v>341.5</v>
      </c>
    </row>
    <row r="15" spans="1:68" ht="15">
      <c r="A15" s="96" t="s">
        <v>53</v>
      </c>
      <c r="B15" s="101" t="s">
        <v>54</v>
      </c>
      <c r="C15" s="80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81">
        <f>'Seznam OM'!R18+'Seznam OM'!W18</f>
        <v>502.52700000000004</v>
      </c>
      <c r="P15" s="80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9">
        <f>'Seznam OM'!S18+'Seznam OM'!X18</f>
        <v>490.175</v>
      </c>
      <c r="AC15" s="80">
        <v>99</v>
      </c>
      <c r="AD15" s="73">
        <v>68</v>
      </c>
      <c r="AE15" s="73">
        <v>63</v>
      </c>
      <c r="AF15" s="73">
        <v>35</v>
      </c>
      <c r="AG15" s="73">
        <v>29</v>
      </c>
      <c r="AH15" s="73">
        <v>5</v>
      </c>
      <c r="AI15" s="73">
        <v>14</v>
      </c>
      <c r="AJ15" s="73">
        <v>14</v>
      </c>
      <c r="AK15" s="73">
        <v>19</v>
      </c>
      <c r="AL15" s="73">
        <v>37</v>
      </c>
      <c r="AM15" s="73">
        <v>55</v>
      </c>
      <c r="AN15" s="73">
        <v>64</v>
      </c>
      <c r="AO15" s="81">
        <v>502</v>
      </c>
      <c r="AP15" s="80">
        <v>81</v>
      </c>
      <c r="AQ15" s="73">
        <v>79</v>
      </c>
      <c r="AR15" s="73">
        <v>60</v>
      </c>
      <c r="AS15" s="73">
        <v>52</v>
      </c>
      <c r="AT15" s="73">
        <v>36</v>
      </c>
      <c r="AU15" s="73">
        <v>16</v>
      </c>
      <c r="AV15" s="73">
        <v>3</v>
      </c>
      <c r="AW15" s="73">
        <v>11</v>
      </c>
      <c r="AX15" s="73">
        <v>21</v>
      </c>
      <c r="AY15" s="73">
        <v>42</v>
      </c>
      <c r="AZ15" s="73">
        <v>54</v>
      </c>
      <c r="BA15" s="73">
        <v>63</v>
      </c>
      <c r="BB15" s="79">
        <f t="shared" si="2"/>
        <v>510</v>
      </c>
      <c r="BC15" s="80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9">
        <f t="shared" si="3"/>
        <v>259</v>
      </c>
      <c r="BP15">
        <f>'Spotřeba zemního plynu'!BB15</f>
        <v>164</v>
      </c>
    </row>
    <row r="16" spans="1:68" ht="15">
      <c r="A16" s="95" t="s">
        <v>56</v>
      </c>
      <c r="B16" s="102" t="s">
        <v>57</v>
      </c>
      <c r="C16" s="80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81">
        <f>'Seznam OM'!R19+'Seznam OM'!W19</f>
        <v>424.997</v>
      </c>
      <c r="P16" s="80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9">
        <f>'Seznam OM'!S19+'Seznam OM'!X19</f>
        <v>0</v>
      </c>
      <c r="AC16" s="80">
        <v>87</v>
      </c>
      <c r="AD16" s="73">
        <v>62</v>
      </c>
      <c r="AE16" s="73">
        <v>66</v>
      </c>
      <c r="AF16" s="73">
        <v>26</v>
      </c>
      <c r="AG16" s="73">
        <v>8</v>
      </c>
      <c r="AH16" s="73">
        <v>0</v>
      </c>
      <c r="AI16" s="73">
        <v>0</v>
      </c>
      <c r="AJ16" s="73">
        <v>0</v>
      </c>
      <c r="AK16" s="73">
        <v>1</v>
      </c>
      <c r="AL16" s="73">
        <v>45</v>
      </c>
      <c r="AM16" s="73">
        <v>69</v>
      </c>
      <c r="AN16" s="73">
        <v>79</v>
      </c>
      <c r="AO16" s="81">
        <v>442</v>
      </c>
      <c r="AP16" s="80">
        <v>86</v>
      </c>
      <c r="AQ16" s="73">
        <v>78</v>
      </c>
      <c r="AR16" s="73">
        <v>74</v>
      </c>
      <c r="AS16" s="73">
        <v>57</v>
      </c>
      <c r="AT16" s="73">
        <v>28</v>
      </c>
      <c r="AU16" s="73">
        <v>8</v>
      </c>
      <c r="AV16" s="73">
        <v>0</v>
      </c>
      <c r="AW16" s="73">
        <v>0</v>
      </c>
      <c r="AX16" s="73">
        <v>2</v>
      </c>
      <c r="AY16" s="73">
        <v>40</v>
      </c>
      <c r="AZ16" s="73">
        <v>55</v>
      </c>
      <c r="BA16" s="73">
        <v>54</v>
      </c>
      <c r="BB16" s="79">
        <f t="shared" si="2"/>
        <v>462.5</v>
      </c>
      <c r="BC16" s="80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9">
        <f t="shared" si="3"/>
        <v>241</v>
      </c>
      <c r="BP16">
        <f>'Spotřeba zemního plynu'!BB16</f>
        <v>144.5</v>
      </c>
    </row>
    <row r="17" spans="1:68" ht="15">
      <c r="A17" s="74" t="s">
        <v>59</v>
      </c>
      <c r="B17" s="85" t="s">
        <v>60</v>
      </c>
      <c r="C17" s="80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81">
        <f>'Seznam OM'!R20+'Seznam OM'!W20</f>
        <v>0</v>
      </c>
      <c r="P17" s="80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9">
        <f>'Seznam OM'!S20+'Seznam OM'!X20</f>
        <v>0</v>
      </c>
      <c r="AC17" s="80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81"/>
      <c r="AP17" s="80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9">
        <f t="shared" si="2"/>
        <v>0</v>
      </c>
      <c r="BC17" s="80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9">
        <f t="shared" si="3"/>
        <v>0</v>
      </c>
      <c r="BP17">
        <f>'Spotřeba zemního plynu'!BB17</f>
        <v>157</v>
      </c>
    </row>
    <row r="18" spans="1:68" ht="15">
      <c r="A18" s="110" t="s">
        <v>62</v>
      </c>
      <c r="B18" s="85" t="s">
        <v>63</v>
      </c>
      <c r="C18" s="80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81">
        <f>'Seznam OM'!R21+'Seznam OM'!W21</f>
        <v>0</v>
      </c>
      <c r="P18" s="80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9">
        <f>'Seznam OM'!S21+'Seznam OM'!X21</f>
        <v>0</v>
      </c>
      <c r="AC18" s="80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81"/>
      <c r="AP18" s="80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9">
        <f t="shared" si="2"/>
        <v>0</v>
      </c>
      <c r="BC18" s="80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9">
        <f t="shared" si="3"/>
        <v>0</v>
      </c>
      <c r="BP18">
        <f>'Spotřeba zemního plynu'!BB18</f>
        <v>0</v>
      </c>
    </row>
    <row r="19" spans="1:68" ht="15">
      <c r="A19" s="110" t="s">
        <v>65</v>
      </c>
      <c r="B19" s="85" t="s">
        <v>66</v>
      </c>
      <c r="C19" s="80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81">
        <f>'Seznam OM'!R22+'Seznam OM'!W22</f>
        <v>0</v>
      </c>
      <c r="P19" s="80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9">
        <f>'Seznam OM'!S22+'Seznam OM'!X22</f>
        <v>0</v>
      </c>
      <c r="AC19" s="80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81"/>
      <c r="AP19" s="80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9">
        <f t="shared" si="2"/>
        <v>0</v>
      </c>
      <c r="BC19" s="80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9">
        <f t="shared" si="3"/>
        <v>0</v>
      </c>
      <c r="BP19">
        <f>'Spotřeba zemního plynu'!BB19</f>
        <v>0</v>
      </c>
    </row>
    <row r="20" spans="1:68" ht="15">
      <c r="A20" s="110" t="s">
        <v>68</v>
      </c>
      <c r="B20" s="85" t="s">
        <v>69</v>
      </c>
      <c r="C20" s="80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81">
        <f>'Seznam OM'!R23+'Seznam OM'!W23</f>
        <v>0</v>
      </c>
      <c r="P20" s="80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9">
        <f>'Seznam OM'!S23+'Seznam OM'!X23</f>
        <v>0</v>
      </c>
      <c r="AC20" s="80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81"/>
      <c r="AP20" s="80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9">
        <f t="shared" si="2"/>
        <v>0</v>
      </c>
      <c r="BC20" s="80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9">
        <f t="shared" si="3"/>
        <v>0</v>
      </c>
      <c r="BP20">
        <f>'Spotřeba zemního plynu'!BB20</f>
        <v>0</v>
      </c>
    </row>
    <row r="21" spans="1:68" ht="15">
      <c r="A21" s="110" t="s">
        <v>47</v>
      </c>
      <c r="B21" s="85" t="s">
        <v>71</v>
      </c>
      <c r="C21" s="80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81">
        <f>'Seznam OM'!R24+'Seznam OM'!W24</f>
        <v>0</v>
      </c>
      <c r="P21" s="80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9">
        <f>'Seznam OM'!S24+'Seznam OM'!X24</f>
        <v>0</v>
      </c>
      <c r="AC21" s="80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81"/>
      <c r="AP21" s="80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9">
        <f t="shared" si="2"/>
        <v>0</v>
      </c>
      <c r="BC21" s="80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9">
        <f t="shared" si="3"/>
        <v>0</v>
      </c>
      <c r="BP21">
        <f>'Spotřeba zemního plynu'!BB21</f>
        <v>0</v>
      </c>
    </row>
    <row r="22" spans="1:68" ht="15">
      <c r="A22" s="110" t="s">
        <v>68</v>
      </c>
      <c r="B22" s="85" t="s">
        <v>73</v>
      </c>
      <c r="C22" s="80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81">
        <f>'Seznam OM'!R25+'Seznam OM'!W25</f>
        <v>1498.991</v>
      </c>
      <c r="P22" s="80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9">
        <f>'Seznam OM'!S25+'Seznam OM'!X25</f>
        <v>1563.989</v>
      </c>
      <c r="AC22" s="80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81"/>
      <c r="AP22" s="80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9">
        <f t="shared" si="2"/>
        <v>0</v>
      </c>
      <c r="BC22" s="80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9">
        <f t="shared" si="3"/>
        <v>0</v>
      </c>
      <c r="BP22">
        <f>'Spotřeba zemního plynu'!BB22</f>
        <v>0</v>
      </c>
    </row>
    <row r="23" spans="1:68" ht="15">
      <c r="A23" s="93" t="s">
        <v>68</v>
      </c>
      <c r="B23" s="101" t="s">
        <v>75</v>
      </c>
      <c r="C23" s="80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81">
        <f>'Seznam OM'!R26+'Seznam OM'!W26</f>
        <v>0</v>
      </c>
      <c r="P23" s="80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9">
        <f>'Seznam OM'!S26+'Seznam OM'!X26</f>
        <v>0</v>
      </c>
      <c r="AC23" s="80">
        <v>265</v>
      </c>
      <c r="AD23" s="73">
        <v>216</v>
      </c>
      <c r="AE23" s="73">
        <v>190</v>
      </c>
      <c r="AF23" s="73">
        <v>95</v>
      </c>
      <c r="AG23" s="73">
        <v>42</v>
      </c>
      <c r="AH23" s="73">
        <v>0</v>
      </c>
      <c r="AI23" s="73">
        <v>0</v>
      </c>
      <c r="AJ23" s="73">
        <v>0</v>
      </c>
      <c r="AK23" s="73">
        <v>8</v>
      </c>
      <c r="AL23" s="73">
        <v>102</v>
      </c>
      <c r="AM23" s="73">
        <v>250</v>
      </c>
      <c r="AN23" s="73">
        <v>335</v>
      </c>
      <c r="AO23" s="81">
        <v>1503</v>
      </c>
      <c r="AP23" s="80">
        <v>299</v>
      </c>
      <c r="AQ23" s="73">
        <v>282</v>
      </c>
      <c r="AR23" s="73">
        <v>229</v>
      </c>
      <c r="AS23" s="73">
        <v>125</v>
      </c>
      <c r="AT23" s="73">
        <v>30</v>
      </c>
      <c r="AU23" s="73">
        <v>0</v>
      </c>
      <c r="AV23" s="73">
        <v>0</v>
      </c>
      <c r="AW23" s="73">
        <v>0</v>
      </c>
      <c r="AX23" s="73">
        <v>3</v>
      </c>
      <c r="AY23" s="73">
        <v>84</v>
      </c>
      <c r="AZ23" s="73">
        <v>258</v>
      </c>
      <c r="BA23" s="73">
        <v>305</v>
      </c>
      <c r="BB23" s="79">
        <f t="shared" si="2"/>
        <v>1559</v>
      </c>
      <c r="BC23" s="80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9">
        <f t="shared" si="3"/>
        <v>807.5</v>
      </c>
      <c r="BP23">
        <f>'Spotřeba zemního plynu'!BB23</f>
        <v>0</v>
      </c>
    </row>
    <row r="24" spans="1:68" ht="15">
      <c r="A24" s="110" t="s">
        <v>65</v>
      </c>
      <c r="B24" s="85" t="s">
        <v>77</v>
      </c>
      <c r="C24" s="80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81">
        <f>'Seznam OM'!R27+'Seznam OM'!W27</f>
        <v>0</v>
      </c>
      <c r="P24" s="80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9">
        <f>'Seznam OM'!S27+'Seznam OM'!X27</f>
        <v>0</v>
      </c>
      <c r="AC24" s="80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81"/>
      <c r="AP24" s="80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9">
        <f t="shared" si="2"/>
        <v>0</v>
      </c>
      <c r="BC24" s="80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9">
        <f t="shared" si="3"/>
        <v>0</v>
      </c>
      <c r="BP24">
        <f>'Spotřeba zemního plynu'!BB24</f>
        <v>0</v>
      </c>
    </row>
    <row r="25" spans="1:68" ht="15">
      <c r="A25" s="110" t="s">
        <v>79</v>
      </c>
      <c r="B25" s="85" t="s">
        <v>80</v>
      </c>
      <c r="C25" s="80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81">
        <f>'Seznam OM'!R28+'Seznam OM'!W28</f>
        <v>0</v>
      </c>
      <c r="P25" s="80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9">
        <f>'Seznam OM'!S28+'Seznam OM'!X28</f>
        <v>0</v>
      </c>
      <c r="AC25" s="80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81"/>
      <c r="AP25" s="80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9">
        <f t="shared" si="2"/>
        <v>0</v>
      </c>
      <c r="BC25" s="80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9">
        <f t="shared" si="3"/>
        <v>0</v>
      </c>
      <c r="BP25">
        <f>'Spotřeba zemního plynu'!BB25</f>
        <v>0</v>
      </c>
    </row>
    <row r="26" spans="1:68" ht="15">
      <c r="A26" s="110" t="s">
        <v>82</v>
      </c>
      <c r="B26" s="85" t="s">
        <v>83</v>
      </c>
      <c r="C26" s="80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81">
        <f>'Seznam OM'!R29+'Seznam OM'!W29</f>
        <v>0</v>
      </c>
      <c r="P26" s="80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9">
        <f>'Seznam OM'!S29+'Seznam OM'!X29</f>
        <v>0</v>
      </c>
      <c r="AC26" s="80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81"/>
      <c r="AP26" s="80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9">
        <f t="shared" si="2"/>
        <v>0</v>
      </c>
      <c r="BC26" s="80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9">
        <f t="shared" si="3"/>
        <v>0</v>
      </c>
      <c r="BP26">
        <f>'Spotřeba zemního plynu'!BB26</f>
        <v>0</v>
      </c>
    </row>
    <row r="27" spans="1:68" ht="15">
      <c r="A27" s="93" t="s">
        <v>85</v>
      </c>
      <c r="B27" s="101" t="s">
        <v>86</v>
      </c>
      <c r="C27" s="80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81">
        <f>'Seznam OM'!R30+'Seznam OM'!W30</f>
        <v>329.998</v>
      </c>
      <c r="P27" s="80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9">
        <f>'Seznam OM'!S30+'Seznam OM'!X30</f>
        <v>0</v>
      </c>
      <c r="AC27" s="80">
        <v>69</v>
      </c>
      <c r="AD27" s="73">
        <v>40</v>
      </c>
      <c r="AE27" s="73">
        <v>33</v>
      </c>
      <c r="AF27" s="73">
        <v>12</v>
      </c>
      <c r="AG27" s="73">
        <v>9</v>
      </c>
      <c r="AH27" s="73">
        <v>7</v>
      </c>
      <c r="AI27" s="73">
        <v>8</v>
      </c>
      <c r="AJ27" s="73">
        <v>6</v>
      </c>
      <c r="AK27" s="73">
        <v>11</v>
      </c>
      <c r="AL27" s="73">
        <v>26</v>
      </c>
      <c r="AM27" s="73">
        <v>39</v>
      </c>
      <c r="AN27" s="73">
        <v>48</v>
      </c>
      <c r="AO27" s="81">
        <v>308</v>
      </c>
      <c r="AP27" s="80">
        <v>56</v>
      </c>
      <c r="AQ27" s="73">
        <v>48</v>
      </c>
      <c r="AR27" s="73">
        <v>40</v>
      </c>
      <c r="AS27" s="73">
        <v>31</v>
      </c>
      <c r="AT27" s="73">
        <v>19</v>
      </c>
      <c r="AU27" s="73">
        <v>9</v>
      </c>
      <c r="AV27" s="73">
        <v>7</v>
      </c>
      <c r="AW27" s="73">
        <v>7</v>
      </c>
      <c r="AX27" s="73">
        <v>9</v>
      </c>
      <c r="AY27" s="73">
        <v>26</v>
      </c>
      <c r="AZ27" s="73">
        <v>41</v>
      </c>
      <c r="BA27" s="73">
        <v>48</v>
      </c>
      <c r="BB27" s="79">
        <f t="shared" si="2"/>
        <v>324.5</v>
      </c>
      <c r="BC27" s="80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9">
        <f t="shared" si="3"/>
        <v>170.5</v>
      </c>
      <c r="BP27">
        <f>'Spotřeba zemního plynu'!BB27</f>
        <v>0</v>
      </c>
    </row>
    <row r="28" spans="1:68" ht="15">
      <c r="A28" s="93" t="s">
        <v>47</v>
      </c>
      <c r="B28" s="101" t="s">
        <v>88</v>
      </c>
      <c r="C28" s="80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81">
        <f>'Seznam OM'!R31+'Seznam OM'!W31</f>
        <v>174.998</v>
      </c>
      <c r="P28" s="80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9">
        <f>'Seznam OM'!S31+'Seznam OM'!X31</f>
        <v>182.998</v>
      </c>
      <c r="AC28" s="80">
        <v>44</v>
      </c>
      <c r="AD28" s="73">
        <v>25</v>
      </c>
      <c r="AE28" s="73">
        <v>30</v>
      </c>
      <c r="AF28" s="73">
        <v>18</v>
      </c>
      <c r="AG28" s="73">
        <v>13</v>
      </c>
      <c r="AH28" s="73">
        <v>0</v>
      </c>
      <c r="AI28" s="73">
        <v>0</v>
      </c>
      <c r="AJ28" s="73">
        <v>0</v>
      </c>
      <c r="AK28" s="73">
        <v>2</v>
      </c>
      <c r="AL28" s="73">
        <v>20</v>
      </c>
      <c r="AM28" s="73">
        <v>29</v>
      </c>
      <c r="AN28" s="73">
        <v>32</v>
      </c>
      <c r="AO28" s="81">
        <v>213</v>
      </c>
      <c r="AP28" s="80">
        <v>40</v>
      </c>
      <c r="AQ28" s="73">
        <v>35</v>
      </c>
      <c r="AR28" s="73">
        <v>33</v>
      </c>
      <c r="AS28" s="73">
        <v>23</v>
      </c>
      <c r="AT28" s="73">
        <v>12</v>
      </c>
      <c r="AU28" s="73">
        <v>0</v>
      </c>
      <c r="AV28" s="73">
        <v>0</v>
      </c>
      <c r="AW28" s="73">
        <v>0</v>
      </c>
      <c r="AX28" s="73">
        <v>4</v>
      </c>
      <c r="AY28" s="73">
        <v>20</v>
      </c>
      <c r="AZ28" s="73">
        <v>27</v>
      </c>
      <c r="BA28" s="73">
        <v>32</v>
      </c>
      <c r="BB28" s="79">
        <f t="shared" si="2"/>
        <v>219.5</v>
      </c>
      <c r="BC28" s="80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9">
        <f t="shared" si="3"/>
        <v>113</v>
      </c>
      <c r="BP28">
        <f>'Spotřeba zemního plynu'!BB28</f>
        <v>0</v>
      </c>
    </row>
    <row r="29" spans="1:68" ht="15">
      <c r="A29" s="111" t="s">
        <v>53</v>
      </c>
      <c r="B29" s="85" t="s">
        <v>90</v>
      </c>
      <c r="C29" s="80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81">
        <f>'Seznam OM'!R32+'Seznam OM'!W32</f>
        <v>0</v>
      </c>
      <c r="P29" s="80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9">
        <f>'Seznam OM'!S32+'Seznam OM'!X32</f>
        <v>0</v>
      </c>
      <c r="AC29" s="80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81"/>
      <c r="AP29" s="80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9">
        <f t="shared" si="2"/>
        <v>0</v>
      </c>
      <c r="BC29" s="80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9">
        <f t="shared" si="3"/>
        <v>0</v>
      </c>
      <c r="BP29">
        <f>'Spotřeba zemního plynu'!BB29</f>
        <v>0</v>
      </c>
    </row>
    <row r="30" spans="1:68" ht="15">
      <c r="A30" s="110" t="s">
        <v>92</v>
      </c>
      <c r="B30" s="85" t="s">
        <v>93</v>
      </c>
      <c r="C30" s="80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81">
        <f>'Seznam OM'!R33+'Seznam OM'!W33</f>
        <v>0</v>
      </c>
      <c r="P30" s="80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9">
        <f>'Seznam OM'!S33+'Seznam OM'!X33</f>
        <v>0</v>
      </c>
      <c r="AC30" s="80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81"/>
      <c r="AP30" s="80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9">
        <f t="shared" si="2"/>
        <v>0</v>
      </c>
      <c r="BC30" s="80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9">
        <f t="shared" si="3"/>
        <v>0</v>
      </c>
      <c r="BP30">
        <f>'Spotřeba zemního plynu'!BB30</f>
        <v>0</v>
      </c>
    </row>
    <row r="31" spans="1:68" ht="15">
      <c r="A31" s="93" t="s">
        <v>95</v>
      </c>
      <c r="B31" s="101" t="s">
        <v>96</v>
      </c>
      <c r="C31" s="80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81">
        <f>'Seznam OM'!R34+'Seznam OM'!W34</f>
        <v>0</v>
      </c>
      <c r="P31" s="80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9">
        <f>'Seznam OM'!S34+'Seznam OM'!X34</f>
        <v>0</v>
      </c>
      <c r="AC31" s="80">
        <v>126</v>
      </c>
      <c r="AD31" s="73">
        <v>92</v>
      </c>
      <c r="AE31" s="73">
        <v>92</v>
      </c>
      <c r="AF31" s="73">
        <v>43</v>
      </c>
      <c r="AG31" s="73">
        <v>15</v>
      </c>
      <c r="AH31" s="73">
        <v>14</v>
      </c>
      <c r="AI31" s="73">
        <v>12</v>
      </c>
      <c r="AJ31" s="73">
        <v>12</v>
      </c>
      <c r="AK31" s="73">
        <v>20</v>
      </c>
      <c r="AL31" s="73">
        <v>64</v>
      </c>
      <c r="AM31" s="73">
        <v>88</v>
      </c>
      <c r="AN31" s="73">
        <v>111</v>
      </c>
      <c r="AO31" s="81">
        <v>689</v>
      </c>
      <c r="AP31" s="80">
        <v>132</v>
      </c>
      <c r="AQ31" s="73">
        <v>114</v>
      </c>
      <c r="AR31" s="73">
        <v>86</v>
      </c>
      <c r="AS31" s="73">
        <v>83</v>
      </c>
      <c r="AT31" s="73">
        <v>41</v>
      </c>
      <c r="AU31" s="73">
        <v>14</v>
      </c>
      <c r="AV31" s="73">
        <v>12</v>
      </c>
      <c r="AW31" s="73">
        <v>9</v>
      </c>
      <c r="AX31" s="73">
        <v>17</v>
      </c>
      <c r="AY31" s="73">
        <v>72</v>
      </c>
      <c r="AZ31" s="73">
        <v>115</v>
      </c>
      <c r="BA31" s="73">
        <v>119</v>
      </c>
      <c r="BB31" s="79">
        <f t="shared" si="2"/>
        <v>751.5</v>
      </c>
      <c r="BC31" s="80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9">
        <f t="shared" si="3"/>
        <v>407</v>
      </c>
      <c r="BP31">
        <f>'Spotřeba zemního plynu'!BB31</f>
        <v>0</v>
      </c>
    </row>
    <row r="32" spans="1:68" ht="15">
      <c r="A32" s="111" t="s">
        <v>53</v>
      </c>
      <c r="B32" s="85" t="s">
        <v>98</v>
      </c>
      <c r="C32" s="80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81">
        <f>'Seznam OM'!R35+'Seznam OM'!W35</f>
        <v>0</v>
      </c>
      <c r="P32" s="80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9">
        <f>'Seznam OM'!S35+'Seznam OM'!X35</f>
        <v>0</v>
      </c>
      <c r="AC32" s="80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81"/>
      <c r="AP32" s="80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9">
        <f t="shared" si="2"/>
        <v>0</v>
      </c>
      <c r="BC32" s="80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9">
        <f t="shared" si="3"/>
        <v>0</v>
      </c>
      <c r="BP32">
        <f>'Spotřeba zemního plynu'!BB32</f>
        <v>0</v>
      </c>
    </row>
    <row r="33" spans="1:68" ht="15">
      <c r="A33" s="110" t="s">
        <v>65</v>
      </c>
      <c r="B33" s="85" t="s">
        <v>100</v>
      </c>
      <c r="C33" s="80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81">
        <f>'Seznam OM'!R36+'Seznam OM'!W36</f>
        <v>0</v>
      </c>
      <c r="P33" s="80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9">
        <f>'Seznam OM'!S36+'Seznam OM'!X36</f>
        <v>0</v>
      </c>
      <c r="AC33" s="80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81"/>
      <c r="AP33" s="80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9">
        <f t="shared" si="2"/>
        <v>0</v>
      </c>
      <c r="BC33" s="80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9">
        <f t="shared" si="3"/>
        <v>0</v>
      </c>
      <c r="BP33">
        <f>'Spotřeba zemního plynu'!BB33</f>
        <v>0</v>
      </c>
    </row>
    <row r="34" spans="1:68" ht="15">
      <c r="A34" s="93" t="s">
        <v>102</v>
      </c>
      <c r="B34" s="101" t="s">
        <v>103</v>
      </c>
      <c r="C34" s="80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81">
        <f>'Seznam OM'!R37+'Seznam OM'!W37</f>
        <v>1449.813</v>
      </c>
      <c r="P34" s="80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9">
        <f>'Seznam OM'!S37+'Seznam OM'!X37</f>
        <v>0</v>
      </c>
      <c r="AC34" s="80">
        <v>246</v>
      </c>
      <c r="AD34" s="73">
        <v>171</v>
      </c>
      <c r="AE34" s="73">
        <v>174</v>
      </c>
      <c r="AF34" s="73">
        <v>102</v>
      </c>
      <c r="AG34" s="73">
        <v>90</v>
      </c>
      <c r="AH34" s="73">
        <v>29</v>
      </c>
      <c r="AI34" s="73">
        <v>45</v>
      </c>
      <c r="AJ34" s="73">
        <v>46</v>
      </c>
      <c r="AK34" s="73">
        <v>58</v>
      </c>
      <c r="AL34" s="73">
        <v>125</v>
      </c>
      <c r="AM34" s="73">
        <v>199</v>
      </c>
      <c r="AN34" s="73">
        <v>240</v>
      </c>
      <c r="AO34" s="81">
        <v>1524</v>
      </c>
      <c r="AP34" s="80">
        <v>244</v>
      </c>
      <c r="AQ34" s="73">
        <v>219</v>
      </c>
      <c r="AR34" s="73">
        <v>205</v>
      </c>
      <c r="AS34" s="73">
        <v>149</v>
      </c>
      <c r="AT34" s="73">
        <v>93</v>
      </c>
      <c r="AU34" s="73">
        <v>45</v>
      </c>
      <c r="AV34" s="73">
        <v>26</v>
      </c>
      <c r="AW34" s="73">
        <v>43</v>
      </c>
      <c r="AX34" s="73">
        <v>59</v>
      </c>
      <c r="AY34" s="73">
        <v>130</v>
      </c>
      <c r="AZ34" s="73">
        <v>192</v>
      </c>
      <c r="BA34" s="73">
        <v>239</v>
      </c>
      <c r="BB34" s="79">
        <f t="shared" si="2"/>
        <v>1584.5</v>
      </c>
      <c r="BC34" s="80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9">
        <f t="shared" si="3"/>
        <v>822</v>
      </c>
      <c r="BP34">
        <f>'Spotřeba zemního plynu'!BB34</f>
        <v>506</v>
      </c>
    </row>
    <row r="35" spans="1:68" ht="15">
      <c r="A35" s="110" t="s">
        <v>105</v>
      </c>
      <c r="B35" s="85" t="s">
        <v>106</v>
      </c>
      <c r="C35" s="80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81">
        <f>'Seznam OM'!R38+'Seznam OM'!W38</f>
        <v>0</v>
      </c>
      <c r="P35" s="80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9">
        <f>'Seznam OM'!S38+'Seznam OM'!X38</f>
        <v>0</v>
      </c>
      <c r="AC35" s="80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81"/>
      <c r="AP35" s="80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9">
        <f t="shared" si="2"/>
        <v>0</v>
      </c>
      <c r="BC35" s="80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9">
        <f t="shared" si="3"/>
        <v>0</v>
      </c>
      <c r="BP35">
        <f>'Spotřeba zemního plynu'!BB35</f>
        <v>0</v>
      </c>
    </row>
    <row r="36" spans="1:68" ht="15">
      <c r="A36" s="110" t="s">
        <v>108</v>
      </c>
      <c r="B36" s="85" t="s">
        <v>109</v>
      </c>
      <c r="C36" s="80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81">
        <f>'Seznam OM'!R39+'Seznam OM'!W39</f>
        <v>0</v>
      </c>
      <c r="P36" s="80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9">
        <f>'Seznam OM'!S39+'Seznam OM'!X39</f>
        <v>0</v>
      </c>
      <c r="AC36" s="80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81"/>
      <c r="AP36" s="80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9">
        <f t="shared" si="2"/>
        <v>0</v>
      </c>
      <c r="BC36" s="80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9">
        <f t="shared" si="3"/>
        <v>0</v>
      </c>
      <c r="BP36">
        <f>'Spotřeba zemního plynu'!BB36</f>
        <v>0</v>
      </c>
    </row>
    <row r="37" spans="1:68" ht="15">
      <c r="A37" s="93" t="s">
        <v>111</v>
      </c>
      <c r="B37" s="101" t="s">
        <v>112</v>
      </c>
      <c r="C37" s="80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81">
        <f>'Seznam OM'!R40+'Seznam OM'!W40</f>
        <v>0</v>
      </c>
      <c r="P37" s="80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9">
        <f>'Seznam OM'!S40+'Seznam OM'!X40</f>
        <v>0</v>
      </c>
      <c r="AC37" s="80">
        <v>65</v>
      </c>
      <c r="AD37" s="73">
        <v>43</v>
      </c>
      <c r="AE37" s="73">
        <v>24</v>
      </c>
      <c r="AF37" s="73">
        <v>3</v>
      </c>
      <c r="AG37" s="73">
        <v>2</v>
      </c>
      <c r="AH37" s="73">
        <v>3</v>
      </c>
      <c r="AI37" s="73">
        <v>3</v>
      </c>
      <c r="AJ37" s="73">
        <v>1</v>
      </c>
      <c r="AK37" s="73">
        <v>5</v>
      </c>
      <c r="AL37" s="73">
        <v>27</v>
      </c>
      <c r="AM37" s="73">
        <v>49</v>
      </c>
      <c r="AN37" s="73">
        <v>50</v>
      </c>
      <c r="AO37" s="81">
        <v>275</v>
      </c>
      <c r="AP37" s="80">
        <v>66</v>
      </c>
      <c r="AQ37" s="73">
        <v>61</v>
      </c>
      <c r="AR37" s="73">
        <v>5</v>
      </c>
      <c r="AS37" s="73">
        <v>32</v>
      </c>
      <c r="AT37" s="73">
        <v>17</v>
      </c>
      <c r="AU37" s="73">
        <v>5</v>
      </c>
      <c r="AV37" s="73">
        <v>2</v>
      </c>
      <c r="AW37" s="73">
        <v>2</v>
      </c>
      <c r="AX37" s="73">
        <v>6</v>
      </c>
      <c r="AY37" s="73">
        <v>25</v>
      </c>
      <c r="AZ37" s="73">
        <v>49</v>
      </c>
      <c r="BA37" s="73">
        <v>59</v>
      </c>
      <c r="BB37" s="79">
        <f t="shared" si="2"/>
        <v>302</v>
      </c>
      <c r="BC37" s="80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9">
        <f t="shared" si="3"/>
        <v>164.5</v>
      </c>
      <c r="BP37">
        <f>'Spotřeba zemního plynu'!BB37</f>
        <v>0</v>
      </c>
    </row>
    <row r="38" spans="1:68" ht="15">
      <c r="A38" s="110" t="s">
        <v>108</v>
      </c>
      <c r="B38" s="85" t="s">
        <v>114</v>
      </c>
      <c r="C38" s="80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81">
        <f>'Seznam OM'!R41+'Seznam OM'!W41</f>
        <v>0</v>
      </c>
      <c r="P38" s="80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9">
        <f>'Seznam OM'!S41+'Seznam OM'!X41</f>
        <v>0</v>
      </c>
      <c r="AC38" s="80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81"/>
      <c r="AP38" s="80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9">
        <f t="shared" si="2"/>
        <v>0</v>
      </c>
      <c r="BC38" s="80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9">
        <f t="shared" si="3"/>
        <v>0</v>
      </c>
      <c r="BP38">
        <f>'Spotřeba zemního plynu'!BB38</f>
        <v>0</v>
      </c>
    </row>
    <row r="39" spans="1:68" ht="15">
      <c r="A39" s="110" t="s">
        <v>108</v>
      </c>
      <c r="B39" s="85" t="s">
        <v>116</v>
      </c>
      <c r="C39" s="80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81">
        <f>'Seznam OM'!R42+'Seznam OM'!W42</f>
        <v>0</v>
      </c>
      <c r="P39" s="80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9">
        <f>'Seznam OM'!S42+'Seznam OM'!X42</f>
        <v>0</v>
      </c>
      <c r="AC39" s="80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81"/>
      <c r="AP39" s="80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9">
        <f t="shared" si="2"/>
        <v>0</v>
      </c>
      <c r="BC39" s="80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9">
        <f t="shared" si="3"/>
        <v>0</v>
      </c>
      <c r="BP39">
        <f>'Spotřeba zemního plynu'!BB39</f>
        <v>0</v>
      </c>
    </row>
    <row r="40" spans="1:68" ht="15">
      <c r="A40" s="93" t="s">
        <v>68</v>
      </c>
      <c r="B40" s="101" t="s">
        <v>118</v>
      </c>
      <c r="C40" s="80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81">
        <f>'Seznam OM'!R43+'Seznam OM'!W43</f>
        <v>169.998</v>
      </c>
      <c r="P40" s="80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9">
        <f>'Seznam OM'!S43+'Seznam OM'!X43</f>
        <v>262.998</v>
      </c>
      <c r="AC40" s="80">
        <v>54</v>
      </c>
      <c r="AD40" s="73">
        <v>49</v>
      </c>
      <c r="AE40" s="73">
        <v>49</v>
      </c>
      <c r="AF40" s="73">
        <v>21</v>
      </c>
      <c r="AG40" s="73">
        <v>16</v>
      </c>
      <c r="AH40" s="73">
        <v>6</v>
      </c>
      <c r="AI40" s="73">
        <v>6</v>
      </c>
      <c r="AJ40" s="73">
        <v>6</v>
      </c>
      <c r="AK40" s="73">
        <v>7</v>
      </c>
      <c r="AL40" s="73">
        <v>35</v>
      </c>
      <c r="AM40" s="73">
        <v>52</v>
      </c>
      <c r="AN40" s="73">
        <v>67</v>
      </c>
      <c r="AO40" s="81">
        <v>368</v>
      </c>
      <c r="AP40" s="80">
        <v>61</v>
      </c>
      <c r="AQ40" s="73">
        <v>61</v>
      </c>
      <c r="AR40" s="73">
        <v>53</v>
      </c>
      <c r="AS40" s="73">
        <v>40</v>
      </c>
      <c r="AT40" s="73">
        <v>25</v>
      </c>
      <c r="AU40" s="73">
        <v>4</v>
      </c>
      <c r="AV40" s="73">
        <v>5</v>
      </c>
      <c r="AW40" s="73">
        <v>5</v>
      </c>
      <c r="AX40" s="73">
        <v>7</v>
      </c>
      <c r="AY40" s="73">
        <v>35</v>
      </c>
      <c r="AZ40" s="73">
        <v>50</v>
      </c>
      <c r="BA40" s="73">
        <v>57</v>
      </c>
      <c r="BB40" s="79">
        <f t="shared" si="2"/>
        <v>385.5</v>
      </c>
      <c r="BC40" s="80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9">
        <f t="shared" si="3"/>
        <v>201.5</v>
      </c>
      <c r="BP40">
        <f>'Spotřeba zemního plynu'!BB40</f>
        <v>0</v>
      </c>
    </row>
    <row r="41" spans="1:68" ht="15">
      <c r="A41" s="93" t="s">
        <v>120</v>
      </c>
      <c r="B41" s="101" t="s">
        <v>121</v>
      </c>
      <c r="C41" s="80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81">
        <f>'Seznam OM'!R44+'Seznam OM'!W44</f>
        <v>0</v>
      </c>
      <c r="P41" s="80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9">
        <f>'Seznam OM'!S44+'Seznam OM'!X44</f>
        <v>0</v>
      </c>
      <c r="AC41" s="80">
        <v>133</v>
      </c>
      <c r="AD41" s="73">
        <v>80</v>
      </c>
      <c r="AE41" s="73">
        <v>84</v>
      </c>
      <c r="AF41" s="73">
        <v>38</v>
      </c>
      <c r="AG41" s="73">
        <v>15</v>
      </c>
      <c r="AH41" s="73">
        <v>0</v>
      </c>
      <c r="AI41" s="73">
        <v>0</v>
      </c>
      <c r="AJ41" s="73">
        <v>0</v>
      </c>
      <c r="AK41" s="73">
        <v>3</v>
      </c>
      <c r="AL41" s="73">
        <v>63</v>
      </c>
      <c r="AM41" s="73">
        <v>90</v>
      </c>
      <c r="AN41" s="73">
        <v>115</v>
      </c>
      <c r="AO41" s="81">
        <v>620</v>
      </c>
      <c r="AP41" s="80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9">
        <f t="shared" si="2"/>
        <v>310.5</v>
      </c>
      <c r="BC41" s="80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9">
        <f t="shared" si="3"/>
        <v>0</v>
      </c>
      <c r="BP41">
        <f>'Spotřeba zemního plynu'!BB41</f>
        <v>216.5</v>
      </c>
    </row>
    <row r="42" spans="1:68" ht="15">
      <c r="A42" s="110" t="s">
        <v>108</v>
      </c>
      <c r="B42" s="85" t="s">
        <v>123</v>
      </c>
      <c r="C42" s="80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81">
        <f>'Seznam OM'!R45+'Seznam OM'!W45</f>
        <v>0</v>
      </c>
      <c r="P42" s="80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9">
        <f>'Seznam OM'!S45+'Seznam OM'!X45</f>
        <v>0</v>
      </c>
      <c r="AC42" s="80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81"/>
      <c r="AP42" s="80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9">
        <f t="shared" si="2"/>
        <v>0</v>
      </c>
      <c r="BC42" s="80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9">
        <f t="shared" si="3"/>
        <v>0</v>
      </c>
      <c r="BP42">
        <f>'Spotřeba zemního plynu'!BB42</f>
        <v>0</v>
      </c>
    </row>
    <row r="43" spans="1:68" ht="15">
      <c r="A43" s="93" t="s">
        <v>108</v>
      </c>
      <c r="B43" s="101" t="s">
        <v>125</v>
      </c>
      <c r="C43" s="80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81">
        <f>'Seznam OM'!R46+'Seznam OM'!W46</f>
        <v>0</v>
      </c>
      <c r="P43" s="80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9">
        <f>'Seznam OM'!S46+'Seznam OM'!X46</f>
        <v>0</v>
      </c>
      <c r="AC43" s="80">
        <v>56</v>
      </c>
      <c r="AD43" s="73">
        <v>37</v>
      </c>
      <c r="AE43" s="73">
        <v>34</v>
      </c>
      <c r="AF43" s="73">
        <v>17</v>
      </c>
      <c r="AG43" s="73">
        <v>10</v>
      </c>
      <c r="AH43" s="73">
        <v>0</v>
      </c>
      <c r="AI43" s="73">
        <v>0</v>
      </c>
      <c r="AJ43" s="73">
        <v>0</v>
      </c>
      <c r="AK43" s="73">
        <v>1</v>
      </c>
      <c r="AL43" s="73">
        <v>21</v>
      </c>
      <c r="AM43" s="73">
        <v>37</v>
      </c>
      <c r="AN43" s="73">
        <v>44</v>
      </c>
      <c r="AO43" s="81">
        <v>257</v>
      </c>
      <c r="AP43" s="80">
        <v>49</v>
      </c>
      <c r="AQ43" s="73">
        <v>48</v>
      </c>
      <c r="AR43" s="73">
        <v>41</v>
      </c>
      <c r="AS43" s="73">
        <v>27</v>
      </c>
      <c r="AT43" s="73">
        <v>12</v>
      </c>
      <c r="AU43" s="73">
        <v>0</v>
      </c>
      <c r="AV43" s="73">
        <v>0</v>
      </c>
      <c r="AW43" s="73">
        <v>0</v>
      </c>
      <c r="AX43" s="73">
        <v>4</v>
      </c>
      <c r="AY43" s="73">
        <v>23</v>
      </c>
      <c r="AZ43" s="73">
        <v>36</v>
      </c>
      <c r="BA43" s="73">
        <v>50</v>
      </c>
      <c r="BB43" s="79">
        <f t="shared" si="2"/>
        <v>273.5</v>
      </c>
      <c r="BC43" s="80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9">
        <f t="shared" si="3"/>
        <v>145</v>
      </c>
      <c r="BP43">
        <f>'Spotřeba zemního plynu'!BB43</f>
        <v>93.5</v>
      </c>
    </row>
    <row r="44" spans="1:68" ht="15">
      <c r="A44" s="110" t="s">
        <v>108</v>
      </c>
      <c r="B44" s="85" t="s">
        <v>127</v>
      </c>
      <c r="C44" s="80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81">
        <f>'Seznam OM'!R47+'Seznam OM'!W47</f>
        <v>0</v>
      </c>
      <c r="P44" s="80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9">
        <f>'Seznam OM'!S47+'Seznam OM'!X47</f>
        <v>0</v>
      </c>
      <c r="AC44" s="80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81"/>
      <c r="AP44" s="80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9">
        <f t="shared" si="2"/>
        <v>0</v>
      </c>
      <c r="BC44" s="80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9">
        <f t="shared" si="3"/>
        <v>0</v>
      </c>
      <c r="BP44">
        <f>'Spotřeba zemního plynu'!BB44</f>
        <v>0</v>
      </c>
    </row>
    <row r="45" spans="1:68" ht="15">
      <c r="A45" s="110" t="s">
        <v>129</v>
      </c>
      <c r="B45" s="85" t="s">
        <v>130</v>
      </c>
      <c r="C45" s="80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81">
        <f>'Seznam OM'!R48+'Seznam OM'!W48</f>
        <v>0</v>
      </c>
      <c r="P45" s="80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9">
        <f>'Seznam OM'!S48+'Seznam OM'!X48</f>
        <v>0</v>
      </c>
      <c r="AC45" s="80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81"/>
      <c r="AP45" s="80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9">
        <f t="shared" si="2"/>
        <v>0</v>
      </c>
      <c r="BC45" s="80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9">
        <f t="shared" si="3"/>
        <v>0</v>
      </c>
      <c r="BP45">
        <f>'Spotřeba zemního plynu'!BB45</f>
        <v>0</v>
      </c>
    </row>
    <row r="46" spans="1:68" ht="15">
      <c r="A46" s="74" t="s">
        <v>132</v>
      </c>
      <c r="B46" s="85" t="s">
        <v>133</v>
      </c>
      <c r="C46" s="80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81">
        <f>'Seznam OM'!R49+'Seznam OM'!W49</f>
        <v>0</v>
      </c>
      <c r="P46" s="80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9">
        <f>'Seznam OM'!S49+'Seznam OM'!X49</f>
        <v>0</v>
      </c>
      <c r="AC46" s="80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81"/>
      <c r="AP46" s="80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9">
        <f t="shared" si="2"/>
        <v>0</v>
      </c>
      <c r="BC46" s="80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9">
        <f t="shared" si="3"/>
        <v>0</v>
      </c>
      <c r="BP46">
        <f>'Spotřeba zemního plynu'!BB46</f>
        <v>57</v>
      </c>
    </row>
    <row r="47" spans="1:68" ht="15">
      <c r="A47" s="110" t="s">
        <v>108</v>
      </c>
      <c r="B47" s="85" t="s">
        <v>135</v>
      </c>
      <c r="C47" s="80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81">
        <f>'Seznam OM'!R50+'Seznam OM'!W50</f>
        <v>0</v>
      </c>
      <c r="P47" s="80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9">
        <f>'Seznam OM'!S50+'Seznam OM'!X50</f>
        <v>0</v>
      </c>
      <c r="AC47" s="80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81"/>
      <c r="AP47" s="80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9">
        <f t="shared" si="2"/>
        <v>0</v>
      </c>
      <c r="BC47" s="80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9">
        <f t="shared" si="3"/>
        <v>0</v>
      </c>
      <c r="BP47">
        <f>'Spotřeba zemního plynu'!BB47</f>
        <v>0</v>
      </c>
    </row>
    <row r="48" spans="1:68" ht="15">
      <c r="A48" s="110" t="s">
        <v>82</v>
      </c>
      <c r="B48" s="85" t="s">
        <v>137</v>
      </c>
      <c r="C48" s="80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81">
        <f>'Seznam OM'!R51+'Seznam OM'!W51</f>
        <v>0</v>
      </c>
      <c r="P48" s="80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9">
        <f>'Seznam OM'!S51+'Seznam OM'!X51</f>
        <v>0</v>
      </c>
      <c r="AC48" s="80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81"/>
      <c r="AP48" s="80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9">
        <f t="shared" si="2"/>
        <v>0</v>
      </c>
      <c r="BC48" s="80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9">
        <f t="shared" si="3"/>
        <v>0</v>
      </c>
      <c r="BP48">
        <f>'Spotřeba zemního plynu'!BB48</f>
        <v>0</v>
      </c>
    </row>
    <row r="49" spans="1:68" ht="15">
      <c r="A49" s="110" t="s">
        <v>108</v>
      </c>
      <c r="B49" s="85" t="s">
        <v>139</v>
      </c>
      <c r="C49" s="80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81">
        <f>'Seznam OM'!R52+'Seznam OM'!W52</f>
        <v>0</v>
      </c>
      <c r="P49" s="80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9">
        <f>'Seznam OM'!S52+'Seznam OM'!X52</f>
        <v>0</v>
      </c>
      <c r="AC49" s="80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81"/>
      <c r="AP49" s="80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9">
        <f t="shared" si="2"/>
        <v>0</v>
      </c>
      <c r="BC49" s="80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9">
        <f t="shared" si="3"/>
        <v>0</v>
      </c>
      <c r="BP49">
        <f>'Spotřeba zemního plynu'!BB49</f>
        <v>0</v>
      </c>
    </row>
    <row r="50" spans="1:68" ht="15">
      <c r="A50" s="110" t="s">
        <v>108</v>
      </c>
      <c r="B50" s="85" t="s">
        <v>141</v>
      </c>
      <c r="C50" s="80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81">
        <f>'Seznam OM'!R53+'Seznam OM'!W53</f>
        <v>0</v>
      </c>
      <c r="P50" s="80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9">
        <f>'Seznam OM'!S53+'Seznam OM'!X53</f>
        <v>0</v>
      </c>
      <c r="AC50" s="80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81"/>
      <c r="AP50" s="80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9">
        <f t="shared" si="2"/>
        <v>0</v>
      </c>
      <c r="BC50" s="80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9">
        <f t="shared" si="3"/>
        <v>0</v>
      </c>
      <c r="BP50">
        <f>'Spotřeba zemního plynu'!BB50</f>
        <v>0</v>
      </c>
    </row>
    <row r="51" spans="1:68" ht="15">
      <c r="A51" s="110" t="s">
        <v>108</v>
      </c>
      <c r="B51" s="85" t="s">
        <v>143</v>
      </c>
      <c r="C51" s="80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81">
        <f>'Seznam OM'!R54+'Seznam OM'!W54</f>
        <v>0</v>
      </c>
      <c r="P51" s="80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9">
        <f>'Seznam OM'!S54+'Seznam OM'!X54</f>
        <v>0</v>
      </c>
      <c r="AC51" s="80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81"/>
      <c r="AP51" s="80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9">
        <f t="shared" si="2"/>
        <v>0</v>
      </c>
      <c r="BC51" s="80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9">
        <f t="shared" si="3"/>
        <v>0</v>
      </c>
      <c r="BP51">
        <f>'Spotřeba zemního plynu'!BB51</f>
        <v>0</v>
      </c>
    </row>
    <row r="52" spans="1:68" ht="15">
      <c r="A52" s="110" t="s">
        <v>108</v>
      </c>
      <c r="B52" s="85" t="s">
        <v>145</v>
      </c>
      <c r="C52" s="80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81">
        <f>'Seznam OM'!R55+'Seznam OM'!W55</f>
        <v>0</v>
      </c>
      <c r="P52" s="80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9">
        <f>'Seznam OM'!S55+'Seznam OM'!X55</f>
        <v>0</v>
      </c>
      <c r="AC52" s="80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81"/>
      <c r="AP52" s="80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9">
        <f t="shared" si="2"/>
        <v>0</v>
      </c>
      <c r="BC52" s="80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9">
        <f t="shared" si="3"/>
        <v>0</v>
      </c>
      <c r="BP52">
        <f>'Spotřeba zemního plynu'!BB52</f>
        <v>0</v>
      </c>
    </row>
    <row r="53" spans="1:68" ht="15">
      <c r="A53" s="93" t="s">
        <v>147</v>
      </c>
      <c r="B53" s="101" t="s">
        <v>148</v>
      </c>
      <c r="C53" s="80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81">
        <f>'Seznam OM'!R56+'Seznam OM'!W56</f>
        <v>80.669</v>
      </c>
      <c r="P53" s="80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9">
        <f>'Seznam OM'!S56+'Seznam OM'!X56</f>
        <v>0</v>
      </c>
      <c r="AC53" s="80">
        <v>14</v>
      </c>
      <c r="AD53" s="73">
        <v>9</v>
      </c>
      <c r="AE53" s="73">
        <v>8</v>
      </c>
      <c r="AF53" s="73">
        <v>2</v>
      </c>
      <c r="AG53" s="73">
        <v>1</v>
      </c>
      <c r="AH53" s="73">
        <v>1</v>
      </c>
      <c r="AI53" s="73">
        <v>1</v>
      </c>
      <c r="AJ53" s="73">
        <v>1</v>
      </c>
      <c r="AK53" s="73">
        <v>1</v>
      </c>
      <c r="AL53" s="73">
        <v>6</v>
      </c>
      <c r="AM53" s="73">
        <v>10</v>
      </c>
      <c r="AN53" s="73">
        <v>12</v>
      </c>
      <c r="AO53" s="81">
        <v>66</v>
      </c>
      <c r="AP53" s="80">
        <v>11</v>
      </c>
      <c r="AQ53" s="73">
        <v>12</v>
      </c>
      <c r="AR53" s="73">
        <v>10</v>
      </c>
      <c r="AS53" s="73">
        <v>6</v>
      </c>
      <c r="AT53" s="73">
        <v>1</v>
      </c>
      <c r="AU53" s="73">
        <v>1</v>
      </c>
      <c r="AV53" s="73">
        <v>1</v>
      </c>
      <c r="AW53" s="73">
        <v>1</v>
      </c>
      <c r="AX53" s="73">
        <v>1</v>
      </c>
      <c r="AY53" s="73">
        <v>3</v>
      </c>
      <c r="AZ53" s="73">
        <v>9</v>
      </c>
      <c r="BA53" s="73">
        <v>14</v>
      </c>
      <c r="BB53" s="79">
        <f t="shared" si="2"/>
        <v>68</v>
      </c>
      <c r="BC53" s="80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9">
        <f t="shared" si="3"/>
        <v>35</v>
      </c>
      <c r="BP53">
        <f>'Spotřeba zemního plynu'!BB53</f>
        <v>25</v>
      </c>
    </row>
    <row r="54" spans="1:68" ht="15">
      <c r="A54" s="110" t="s">
        <v>108</v>
      </c>
      <c r="B54" s="85" t="s">
        <v>150</v>
      </c>
      <c r="C54" s="80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81">
        <f>'Seznam OM'!R57+'Seznam OM'!W57</f>
        <v>0</v>
      </c>
      <c r="P54" s="80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9">
        <f>'Seznam OM'!S57+'Seznam OM'!X57</f>
        <v>0</v>
      </c>
      <c r="AC54" s="80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81"/>
      <c r="AP54" s="80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9">
        <f t="shared" si="2"/>
        <v>0</v>
      </c>
      <c r="BC54" s="80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9">
        <f t="shared" si="3"/>
        <v>0</v>
      </c>
      <c r="BP54">
        <f>'Spotřeba zemního plynu'!BB54</f>
        <v>0</v>
      </c>
    </row>
    <row r="55" spans="1:68" ht="15">
      <c r="A55" s="110" t="s">
        <v>108</v>
      </c>
      <c r="B55" s="85" t="s">
        <v>152</v>
      </c>
      <c r="C55" s="80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81">
        <f>'Seznam OM'!R58+'Seznam OM'!W58</f>
        <v>0</v>
      </c>
      <c r="P55" s="80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9">
        <f>'Seznam OM'!S58+'Seznam OM'!X58</f>
        <v>0</v>
      </c>
      <c r="AC55" s="80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81"/>
      <c r="AP55" s="80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9">
        <f t="shared" si="2"/>
        <v>0</v>
      </c>
      <c r="BC55" s="80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9">
        <f t="shared" si="3"/>
        <v>0</v>
      </c>
      <c r="BP55">
        <f>'Spotřeba zemního plynu'!BB55</f>
        <v>0</v>
      </c>
    </row>
    <row r="56" spans="1:68" ht="15">
      <c r="A56" s="93" t="s">
        <v>132</v>
      </c>
      <c r="B56" s="101" t="s">
        <v>154</v>
      </c>
      <c r="C56" s="80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81">
        <f>'Seznam OM'!R59+'Seznam OM'!W59</f>
        <v>0</v>
      </c>
      <c r="P56" s="80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9">
        <f>'Seznam OM'!S59+'Seznam OM'!X59</f>
        <v>0</v>
      </c>
      <c r="AC56" s="80">
        <v>42</v>
      </c>
      <c r="AD56" s="73">
        <v>38</v>
      </c>
      <c r="AE56" s="73">
        <v>25</v>
      </c>
      <c r="AF56" s="73">
        <v>33</v>
      </c>
      <c r="AG56" s="73">
        <v>14</v>
      </c>
      <c r="AH56" s="73">
        <v>3</v>
      </c>
      <c r="AI56" s="73">
        <v>3</v>
      </c>
      <c r="AJ56" s="73">
        <v>4</v>
      </c>
      <c r="AK56" s="73">
        <v>7</v>
      </c>
      <c r="AL56" s="73">
        <v>22</v>
      </c>
      <c r="AM56" s="73">
        <v>43</v>
      </c>
      <c r="AN56" s="73">
        <v>50</v>
      </c>
      <c r="AO56" s="81">
        <v>284</v>
      </c>
      <c r="AP56" s="80">
        <v>46</v>
      </c>
      <c r="AQ56" s="73">
        <v>48</v>
      </c>
      <c r="AR56" s="73">
        <v>30</v>
      </c>
      <c r="AS56" s="73">
        <v>31</v>
      </c>
      <c r="AT56" s="73">
        <v>16</v>
      </c>
      <c r="AU56" s="73">
        <v>4</v>
      </c>
      <c r="AV56" s="73">
        <v>3</v>
      </c>
      <c r="AW56" s="73">
        <v>3</v>
      </c>
      <c r="AX56" s="73">
        <v>7</v>
      </c>
      <c r="AY56" s="73">
        <v>28</v>
      </c>
      <c r="AZ56" s="73">
        <v>39</v>
      </c>
      <c r="BA56" s="73">
        <v>49</v>
      </c>
      <c r="BB56" s="79">
        <f t="shared" si="2"/>
        <v>294</v>
      </c>
      <c r="BC56" s="80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9">
        <f t="shared" si="3"/>
        <v>152</v>
      </c>
      <c r="BP56">
        <f>'Spotřeba zemního plynu'!BB56</f>
        <v>0</v>
      </c>
    </row>
    <row r="57" spans="1:68" ht="15">
      <c r="A57" s="110" t="s">
        <v>82</v>
      </c>
      <c r="B57" s="85" t="s">
        <v>156</v>
      </c>
      <c r="C57" s="80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81">
        <f>'Seznam OM'!R60+'Seznam OM'!W60</f>
        <v>0</v>
      </c>
      <c r="P57" s="80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9">
        <f>'Seznam OM'!S60+'Seznam OM'!X60</f>
        <v>0</v>
      </c>
      <c r="AC57" s="80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81"/>
      <c r="AP57" s="80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9">
        <f t="shared" si="2"/>
        <v>0</v>
      </c>
      <c r="BC57" s="80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9">
        <f t="shared" si="3"/>
        <v>0</v>
      </c>
      <c r="BP57">
        <f>'Spotřeba zemního plynu'!BB57</f>
        <v>0</v>
      </c>
    </row>
    <row r="58" spans="1:68" ht="15">
      <c r="A58" s="110" t="s">
        <v>108</v>
      </c>
      <c r="B58" s="85" t="s">
        <v>158</v>
      </c>
      <c r="C58" s="80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81">
        <f>'Seznam OM'!R61+'Seznam OM'!W61</f>
        <v>0</v>
      </c>
      <c r="P58" s="80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9">
        <f>'Seznam OM'!S61+'Seznam OM'!X61</f>
        <v>0</v>
      </c>
      <c r="AC58" s="80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81"/>
      <c r="AP58" s="80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9">
        <f t="shared" si="2"/>
        <v>0</v>
      </c>
      <c r="BC58" s="80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9">
        <f t="shared" si="3"/>
        <v>0</v>
      </c>
      <c r="BP58">
        <f>'Spotřeba zemního plynu'!BB58</f>
        <v>0</v>
      </c>
    </row>
    <row r="59" spans="1:68" ht="15">
      <c r="A59" s="110" t="s">
        <v>108</v>
      </c>
      <c r="B59" s="85" t="s">
        <v>160</v>
      </c>
      <c r="C59" s="80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81">
        <f>'Seznam OM'!R62+'Seznam OM'!W62</f>
        <v>0</v>
      </c>
      <c r="P59" s="80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9">
        <f>'Seznam OM'!S62+'Seznam OM'!X62</f>
        <v>0</v>
      </c>
      <c r="AC59" s="80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81"/>
      <c r="AP59" s="80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9">
        <f t="shared" si="2"/>
        <v>0</v>
      </c>
      <c r="BC59" s="80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9">
        <f t="shared" si="3"/>
        <v>0</v>
      </c>
      <c r="BP59">
        <f>'Spotřeba zemního plynu'!BB59</f>
        <v>0</v>
      </c>
    </row>
    <row r="60" spans="1:68" ht="15">
      <c r="A60" s="110" t="s">
        <v>108</v>
      </c>
      <c r="B60" s="85" t="s">
        <v>162</v>
      </c>
      <c r="C60" s="80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81">
        <f>'Seznam OM'!R63+'Seznam OM'!W63</f>
        <v>0</v>
      </c>
      <c r="P60" s="80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9">
        <f>'Seznam OM'!S63+'Seznam OM'!X63</f>
        <v>0</v>
      </c>
      <c r="AC60" s="80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81"/>
      <c r="AP60" s="80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9">
        <f t="shared" si="2"/>
        <v>0</v>
      </c>
      <c r="BC60" s="80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9">
        <f t="shared" si="3"/>
        <v>0</v>
      </c>
      <c r="BP60">
        <f>'Spotřeba zemního plynu'!BB60</f>
        <v>0</v>
      </c>
    </row>
    <row r="61" spans="1:68" ht="15">
      <c r="A61" s="110" t="s">
        <v>108</v>
      </c>
      <c r="B61" s="85" t="s">
        <v>164</v>
      </c>
      <c r="C61" s="80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81">
        <f>'Seznam OM'!R64+'Seznam OM'!W64</f>
        <v>0</v>
      </c>
      <c r="P61" s="80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9">
        <f>'Seznam OM'!S64+'Seznam OM'!X64</f>
        <v>0</v>
      </c>
      <c r="AC61" s="80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81"/>
      <c r="AP61" s="80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9">
        <f t="shared" si="2"/>
        <v>0</v>
      </c>
      <c r="BC61" s="80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9">
        <f t="shared" si="3"/>
        <v>0</v>
      </c>
      <c r="BP61">
        <f>'Spotřeba zemního plynu'!BB61</f>
        <v>0</v>
      </c>
    </row>
    <row r="62" spans="1:68" ht="15">
      <c r="A62" s="110" t="s">
        <v>108</v>
      </c>
      <c r="B62" s="85" t="s">
        <v>166</v>
      </c>
      <c r="C62" s="80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81">
        <f>'Seznam OM'!R65+'Seznam OM'!W65</f>
        <v>0</v>
      </c>
      <c r="P62" s="80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9">
        <f>'Seznam OM'!S65+'Seznam OM'!X65</f>
        <v>0</v>
      </c>
      <c r="AC62" s="80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81"/>
      <c r="AP62" s="80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9">
        <f t="shared" si="2"/>
        <v>0</v>
      </c>
      <c r="BC62" s="80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9">
        <f t="shared" si="3"/>
        <v>0</v>
      </c>
      <c r="BP62">
        <f>'Spotřeba zemního plynu'!BB62</f>
        <v>0</v>
      </c>
    </row>
    <row r="63" spans="1:68" ht="15">
      <c r="A63" s="110" t="s">
        <v>108</v>
      </c>
      <c r="B63" s="85" t="s">
        <v>168</v>
      </c>
      <c r="C63" s="80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81">
        <f>'Seznam OM'!R66+'Seznam OM'!W66</f>
        <v>0</v>
      </c>
      <c r="P63" s="80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9">
        <f>'Seznam OM'!S66+'Seznam OM'!X66</f>
        <v>0</v>
      </c>
      <c r="AC63" s="80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81"/>
      <c r="AP63" s="80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9">
        <f t="shared" si="2"/>
        <v>0</v>
      </c>
      <c r="BC63" s="80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9">
        <f t="shared" si="3"/>
        <v>0</v>
      </c>
      <c r="BP63">
        <f>'Spotřeba zemního plynu'!BB63</f>
        <v>0</v>
      </c>
    </row>
    <row r="64" spans="1:68" ht="15">
      <c r="A64" s="110" t="s">
        <v>108</v>
      </c>
      <c r="B64" s="85" t="s">
        <v>170</v>
      </c>
      <c r="C64" s="80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81">
        <f>'Seznam OM'!R67+'Seznam OM'!W67</f>
        <v>0</v>
      </c>
      <c r="P64" s="80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9">
        <f>'Seznam OM'!S67+'Seznam OM'!X67</f>
        <v>0</v>
      </c>
      <c r="AC64" s="80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81"/>
      <c r="AP64" s="80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9">
        <f t="shared" si="2"/>
        <v>0</v>
      </c>
      <c r="BC64" s="80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9">
        <f t="shared" si="3"/>
        <v>0</v>
      </c>
      <c r="BP64">
        <f>'Spotřeba zemního plynu'!BB64</f>
        <v>0</v>
      </c>
    </row>
    <row r="65" spans="1:68" ht="15">
      <c r="A65" s="110" t="s">
        <v>108</v>
      </c>
      <c r="B65" s="85" t="s">
        <v>172</v>
      </c>
      <c r="C65" s="80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81">
        <f>'Seznam OM'!R68+'Seznam OM'!W68</f>
        <v>0</v>
      </c>
      <c r="P65" s="80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9">
        <f>'Seznam OM'!S68+'Seznam OM'!X68</f>
        <v>0</v>
      </c>
      <c r="AC65" s="80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81"/>
      <c r="AP65" s="80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9">
        <f t="shared" si="2"/>
        <v>0</v>
      </c>
      <c r="BC65" s="80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9">
        <f t="shared" si="3"/>
        <v>0</v>
      </c>
      <c r="BP65">
        <f>'Spotřeba zemního plynu'!BB65</f>
        <v>0</v>
      </c>
    </row>
    <row r="66" spans="1:68" ht="15">
      <c r="A66" s="110" t="s">
        <v>44</v>
      </c>
      <c r="B66" s="87" t="s">
        <v>174</v>
      </c>
      <c r="C66" s="80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81">
        <f>'Seznam OM'!R69+'Seznam OM'!W69</f>
        <v>0</v>
      </c>
      <c r="P66" s="80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9">
        <f>'Seznam OM'!S69+'Seznam OM'!X69</f>
        <v>0</v>
      </c>
      <c r="AC66" s="80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81"/>
      <c r="AP66" s="80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9">
        <f t="shared" si="2"/>
        <v>0</v>
      </c>
      <c r="BC66" s="80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9">
        <f t="shared" si="3"/>
        <v>0</v>
      </c>
      <c r="BP66">
        <f>'Spotřeba zemního plynu'!BB66</f>
        <v>0</v>
      </c>
    </row>
    <row r="67" spans="1:68" ht="15">
      <c r="A67" s="110" t="s">
        <v>108</v>
      </c>
      <c r="B67" s="85" t="s">
        <v>176</v>
      </c>
      <c r="C67" s="80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81">
        <f>'Seznam OM'!R70+'Seznam OM'!W70</f>
        <v>0</v>
      </c>
      <c r="P67" s="80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9">
        <f>'Seznam OM'!S70+'Seznam OM'!X70</f>
        <v>0</v>
      </c>
      <c r="AC67" s="80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81"/>
      <c r="AP67" s="80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9">
        <f t="shared" si="2"/>
        <v>0</v>
      </c>
      <c r="BC67" s="80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9">
        <f t="shared" si="3"/>
        <v>0</v>
      </c>
      <c r="BP67">
        <f>'Spotřeba zemního plynu'!BB67</f>
        <v>0</v>
      </c>
    </row>
    <row r="68" spans="1:68" ht="15">
      <c r="A68" s="110" t="s">
        <v>44</v>
      </c>
      <c r="B68" s="87" t="s">
        <v>178</v>
      </c>
      <c r="C68" s="80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81">
        <f>'Seznam OM'!R71+'Seznam OM'!W71</f>
        <v>0</v>
      </c>
      <c r="P68" s="80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9">
        <f>'Seznam OM'!S71+'Seznam OM'!X71</f>
        <v>0</v>
      </c>
      <c r="AC68" s="80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81"/>
      <c r="AP68" s="80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9">
        <f t="shared" si="2"/>
        <v>0</v>
      </c>
      <c r="BC68" s="80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9">
        <f t="shared" si="3"/>
        <v>0</v>
      </c>
      <c r="BP68">
        <f>'Spotřeba zemního plynu'!BB68</f>
        <v>0</v>
      </c>
    </row>
    <row r="69" spans="1:68" ht="15">
      <c r="A69" s="110" t="s">
        <v>108</v>
      </c>
      <c r="B69" s="85" t="s">
        <v>180</v>
      </c>
      <c r="C69" s="80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81">
        <f>'Seznam OM'!R72+'Seznam OM'!W72</f>
        <v>0</v>
      </c>
      <c r="P69" s="80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9">
        <f>'Seznam OM'!S72+'Seznam OM'!X72</f>
        <v>0</v>
      </c>
      <c r="AC69" s="80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81"/>
      <c r="AP69" s="80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9">
        <f t="shared" si="2"/>
        <v>0</v>
      </c>
      <c r="BC69" s="80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9">
        <f t="shared" si="3"/>
        <v>0</v>
      </c>
      <c r="BP69">
        <f>'Spotřeba zemního plynu'!BB69</f>
        <v>0</v>
      </c>
    </row>
    <row r="70" spans="1:68" ht="15">
      <c r="A70" s="110" t="s">
        <v>108</v>
      </c>
      <c r="B70" s="85" t="s">
        <v>182</v>
      </c>
      <c r="C70" s="80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81">
        <f>'Seznam OM'!R73+'Seznam OM'!W73</f>
        <v>0</v>
      </c>
      <c r="P70" s="80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9">
        <f>'Seznam OM'!S73+'Seznam OM'!X73</f>
        <v>0</v>
      </c>
      <c r="AC70" s="80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81"/>
      <c r="AP70" s="80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9">
        <f t="shared" si="2"/>
        <v>0</v>
      </c>
      <c r="BC70" s="80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9">
        <f t="shared" si="3"/>
        <v>0</v>
      </c>
      <c r="BP70">
        <f>'Spotřeba zemního plynu'!BB70</f>
        <v>0</v>
      </c>
    </row>
    <row r="71" spans="1:68" ht="15">
      <c r="A71" s="110" t="s">
        <v>108</v>
      </c>
      <c r="B71" s="85" t="s">
        <v>184</v>
      </c>
      <c r="C71" s="80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81">
        <f>'Seznam OM'!R74+'Seznam OM'!W74</f>
        <v>0</v>
      </c>
      <c r="P71" s="80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9">
        <f>'Seznam OM'!S74+'Seznam OM'!X74</f>
        <v>0</v>
      </c>
      <c r="AC71" s="80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81"/>
      <c r="AP71" s="80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9">
        <f t="shared" si="2"/>
        <v>0</v>
      </c>
      <c r="BC71" s="80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9">
        <f t="shared" si="3"/>
        <v>0</v>
      </c>
      <c r="BP71">
        <f>'Spotřeba zemního plynu'!BB71</f>
        <v>0</v>
      </c>
    </row>
    <row r="72" spans="1:68" ht="15">
      <c r="A72" s="110" t="s">
        <v>108</v>
      </c>
      <c r="B72" s="85" t="s">
        <v>186</v>
      </c>
      <c r="C72" s="80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81">
        <f>'Seznam OM'!R75+'Seznam OM'!W75</f>
        <v>0</v>
      </c>
      <c r="P72" s="80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9">
        <f>'Seznam OM'!S75+'Seznam OM'!X75</f>
        <v>0</v>
      </c>
      <c r="AC72" s="80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81"/>
      <c r="AP72" s="80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9">
        <f t="shared" si="2"/>
        <v>0</v>
      </c>
      <c r="BC72" s="80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9">
        <f t="shared" si="3"/>
        <v>0</v>
      </c>
      <c r="BP72">
        <f>'Spotřeba zemního plynu'!BB72</f>
        <v>0</v>
      </c>
    </row>
    <row r="73" spans="1:68" ht="15">
      <c r="A73" s="110" t="s">
        <v>44</v>
      </c>
      <c r="B73" s="87" t="s">
        <v>188</v>
      </c>
      <c r="C73" s="80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81">
        <f>'Seznam OM'!R76+'Seznam OM'!W76</f>
        <v>0</v>
      </c>
      <c r="P73" s="80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9">
        <f>'Seznam OM'!S76+'Seznam OM'!X76</f>
        <v>0</v>
      </c>
      <c r="AC73" s="80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81"/>
      <c r="AP73" s="80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9">
        <f t="shared" si="2"/>
        <v>0</v>
      </c>
      <c r="BC73" s="80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9">
        <f t="shared" si="3"/>
        <v>0</v>
      </c>
      <c r="BP73">
        <f>'Spotřeba zemního plynu'!BB73</f>
        <v>0</v>
      </c>
    </row>
    <row r="74" spans="1:68" ht="15">
      <c r="A74" s="110" t="s">
        <v>44</v>
      </c>
      <c r="B74" s="87" t="s">
        <v>190</v>
      </c>
      <c r="C74" s="80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81">
        <f>'Seznam OM'!R77+'Seznam OM'!W77</f>
        <v>0</v>
      </c>
      <c r="P74" s="80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9">
        <f>'Seznam OM'!S77+'Seznam OM'!X77</f>
        <v>0</v>
      </c>
      <c r="AC74" s="80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81"/>
      <c r="AP74" s="80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9">
        <f t="shared" si="2"/>
        <v>0</v>
      </c>
      <c r="BC74" s="80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9">
        <f t="shared" si="3"/>
        <v>0</v>
      </c>
      <c r="BP74">
        <f>'Spotřeba zemního plynu'!BB74</f>
        <v>0</v>
      </c>
    </row>
    <row r="75" spans="1:68" ht="15">
      <c r="A75" s="110" t="s">
        <v>108</v>
      </c>
      <c r="B75" s="85" t="s">
        <v>192</v>
      </c>
      <c r="C75" s="80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81">
        <f>'Seznam OM'!R78+'Seznam OM'!W78</f>
        <v>0</v>
      </c>
      <c r="P75" s="80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9">
        <f>'Seznam OM'!S78+'Seznam OM'!X78</f>
        <v>0</v>
      </c>
      <c r="AC75" s="80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81"/>
      <c r="AP75" s="80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9">
        <f aca="true" t="shared" si="4" ref="BB75:BB95">(SUM(AP75:BA75)+SUM(AC75:AN75))/2</f>
        <v>0</v>
      </c>
      <c r="BC75" s="80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9">
        <f aca="true" t="shared" si="5" ref="BO75:BO95">(SUM(BC75:BN75)+SUM(AP75:BA75))/2</f>
        <v>0</v>
      </c>
      <c r="BP75">
        <f>'Spotřeba zemního plynu'!BB75</f>
        <v>0</v>
      </c>
    </row>
    <row r="76" spans="1:68" ht="15">
      <c r="A76" s="110" t="s">
        <v>44</v>
      </c>
      <c r="B76" s="87" t="s">
        <v>194</v>
      </c>
      <c r="C76" s="80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81">
        <f>'Seznam OM'!R79+'Seznam OM'!W79</f>
        <v>0</v>
      </c>
      <c r="P76" s="80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9">
        <f>'Seznam OM'!S79+'Seznam OM'!X79</f>
        <v>0</v>
      </c>
      <c r="AC76" s="80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81"/>
      <c r="AP76" s="80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9">
        <f t="shared" si="4"/>
        <v>0</v>
      </c>
      <c r="BC76" s="80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9">
        <f t="shared" si="5"/>
        <v>0</v>
      </c>
      <c r="BP76">
        <f>'Spotřeba zemního plynu'!BB76</f>
        <v>0</v>
      </c>
    </row>
    <row r="77" spans="1:68" ht="15">
      <c r="A77" s="110" t="s">
        <v>44</v>
      </c>
      <c r="B77" s="87" t="s">
        <v>196</v>
      </c>
      <c r="C77" s="80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81">
        <f>'Seznam OM'!R80+'Seznam OM'!W80</f>
        <v>0</v>
      </c>
      <c r="P77" s="80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9">
        <f>'Seznam OM'!S80+'Seznam OM'!X80</f>
        <v>0</v>
      </c>
      <c r="AC77" s="80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81"/>
      <c r="AP77" s="80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9">
        <f t="shared" si="4"/>
        <v>0</v>
      </c>
      <c r="BC77" s="80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9">
        <f t="shared" si="5"/>
        <v>0</v>
      </c>
      <c r="BP77">
        <f>'Spotřeba zemního plynu'!BB77</f>
        <v>0</v>
      </c>
    </row>
    <row r="78" spans="1:68" ht="15">
      <c r="A78" s="110" t="s">
        <v>44</v>
      </c>
      <c r="B78" s="87" t="s">
        <v>198</v>
      </c>
      <c r="C78" s="80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81">
        <f>'Seznam OM'!R81+'Seznam OM'!W81</f>
        <v>0</v>
      </c>
      <c r="P78" s="80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9">
        <f>'Seznam OM'!S81+'Seznam OM'!X81</f>
        <v>0</v>
      </c>
      <c r="AC78" s="80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81"/>
      <c r="AP78" s="80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9">
        <f t="shared" si="4"/>
        <v>0</v>
      </c>
      <c r="BC78" s="80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9">
        <f t="shared" si="5"/>
        <v>0</v>
      </c>
      <c r="BP78">
        <f>'Spotřeba zemního plynu'!BB78</f>
        <v>0</v>
      </c>
    </row>
    <row r="79" spans="1:68" ht="15">
      <c r="A79" s="110" t="s">
        <v>44</v>
      </c>
      <c r="B79" s="87" t="s">
        <v>200</v>
      </c>
      <c r="C79" s="80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81">
        <f>'Seznam OM'!R82+'Seznam OM'!W82</f>
        <v>0</v>
      </c>
      <c r="P79" s="80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9">
        <f>'Seznam OM'!S82+'Seznam OM'!X82</f>
        <v>0</v>
      </c>
      <c r="AC79" s="80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81"/>
      <c r="AP79" s="80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9">
        <f t="shared" si="4"/>
        <v>0</v>
      </c>
      <c r="BC79" s="80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9">
        <f t="shared" si="5"/>
        <v>0</v>
      </c>
      <c r="BP79">
        <f>'Spotřeba zemního plynu'!BB79</f>
        <v>0</v>
      </c>
    </row>
    <row r="80" spans="1:68" ht="15">
      <c r="A80" s="110" t="s">
        <v>44</v>
      </c>
      <c r="B80" s="87" t="s">
        <v>202</v>
      </c>
      <c r="C80" s="80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81">
        <f>'Seznam OM'!R83+'Seznam OM'!W83</f>
        <v>0</v>
      </c>
      <c r="P80" s="80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9">
        <f>'Seznam OM'!S83+'Seznam OM'!X83</f>
        <v>0</v>
      </c>
      <c r="AC80" s="80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81"/>
      <c r="AP80" s="80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9">
        <f t="shared" si="4"/>
        <v>0</v>
      </c>
      <c r="BC80" s="80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9">
        <f t="shared" si="5"/>
        <v>0</v>
      </c>
      <c r="BP80">
        <f>'Spotřeba zemního plynu'!BB80</f>
        <v>0</v>
      </c>
    </row>
    <row r="81" spans="1:68" ht="15">
      <c r="A81" s="93" t="s">
        <v>108</v>
      </c>
      <c r="B81" s="101" t="s">
        <v>204</v>
      </c>
      <c r="C81" s="80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81">
        <f>'Seznam OM'!R84+'Seznam OM'!W84</f>
        <v>0</v>
      </c>
      <c r="P81" s="80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9">
        <f>'Seznam OM'!S84+'Seznam OM'!X84</f>
        <v>0</v>
      </c>
      <c r="AC81" s="80">
        <v>9</v>
      </c>
      <c r="AD81" s="73">
        <v>7</v>
      </c>
      <c r="AE81" s="73">
        <v>4</v>
      </c>
      <c r="AF81" s="73">
        <v>3</v>
      </c>
      <c r="AG81" s="73">
        <v>2</v>
      </c>
      <c r="AH81" s="73">
        <v>0</v>
      </c>
      <c r="AI81" s="73">
        <v>0</v>
      </c>
      <c r="AJ81" s="73">
        <v>0</v>
      </c>
      <c r="AK81" s="73">
        <v>0</v>
      </c>
      <c r="AL81" s="73">
        <v>3</v>
      </c>
      <c r="AM81" s="73">
        <v>6</v>
      </c>
      <c r="AN81" s="73">
        <v>7</v>
      </c>
      <c r="AO81" s="81">
        <v>41</v>
      </c>
      <c r="AP81" s="80">
        <v>8</v>
      </c>
      <c r="AQ81" s="73">
        <v>8</v>
      </c>
      <c r="AR81" s="73">
        <v>6</v>
      </c>
      <c r="AS81" s="73">
        <v>3</v>
      </c>
      <c r="AT81" s="73">
        <v>2</v>
      </c>
      <c r="AU81" s="73">
        <v>0</v>
      </c>
      <c r="AV81" s="73">
        <v>0</v>
      </c>
      <c r="AW81" s="73">
        <v>0</v>
      </c>
      <c r="AX81" s="73">
        <v>0</v>
      </c>
      <c r="AY81" s="73">
        <v>3</v>
      </c>
      <c r="AZ81" s="73">
        <v>6</v>
      </c>
      <c r="BA81" s="73">
        <v>7</v>
      </c>
      <c r="BB81" s="79">
        <f t="shared" si="4"/>
        <v>42</v>
      </c>
      <c r="BC81" s="80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9">
        <f t="shared" si="5"/>
        <v>21.5</v>
      </c>
      <c r="BP81">
        <f>'Spotřeba zemního plynu'!BB81</f>
        <v>0</v>
      </c>
    </row>
    <row r="82" spans="1:68" ht="15">
      <c r="A82" s="110" t="s">
        <v>108</v>
      </c>
      <c r="B82" s="85" t="s">
        <v>206</v>
      </c>
      <c r="C82" s="80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81">
        <f>'Seznam OM'!R85+'Seznam OM'!W85</f>
        <v>0</v>
      </c>
      <c r="P82" s="80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9">
        <f>'Seznam OM'!S85+'Seznam OM'!X85</f>
        <v>0</v>
      </c>
      <c r="AC82" s="80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81"/>
      <c r="AP82" s="80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9">
        <f t="shared" si="4"/>
        <v>0</v>
      </c>
      <c r="BC82" s="80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9">
        <f t="shared" si="5"/>
        <v>0</v>
      </c>
      <c r="BP82">
        <f>'Spotřeba zemního plynu'!BB82</f>
        <v>0</v>
      </c>
    </row>
    <row r="83" spans="1:68" ht="15">
      <c r="A83" s="110" t="s">
        <v>108</v>
      </c>
      <c r="B83" s="85" t="s">
        <v>208</v>
      </c>
      <c r="C83" s="80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81">
        <f>'Seznam OM'!R86+'Seznam OM'!W86</f>
        <v>0</v>
      </c>
      <c r="P83" s="80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9">
        <f>'Seznam OM'!S86+'Seznam OM'!X86</f>
        <v>0</v>
      </c>
      <c r="AC83" s="80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81"/>
      <c r="AP83" s="80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9">
        <f t="shared" si="4"/>
        <v>0</v>
      </c>
      <c r="BC83" s="80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9">
        <f t="shared" si="5"/>
        <v>0</v>
      </c>
      <c r="BP83">
        <f>'Spotřeba zemního plynu'!BB83</f>
        <v>0</v>
      </c>
    </row>
    <row r="84" spans="1:68" ht="15">
      <c r="A84" s="110" t="s">
        <v>108</v>
      </c>
      <c r="B84" s="85" t="s">
        <v>210</v>
      </c>
      <c r="C84" s="80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81">
        <f>'Seznam OM'!R87+'Seznam OM'!W87</f>
        <v>0</v>
      </c>
      <c r="P84" s="80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9">
        <f>'Seznam OM'!S87+'Seznam OM'!X87</f>
        <v>0</v>
      </c>
      <c r="AC84" s="80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81"/>
      <c r="AP84" s="80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9">
        <f t="shared" si="4"/>
        <v>0</v>
      </c>
      <c r="BC84" s="80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9">
        <f t="shared" si="5"/>
        <v>0</v>
      </c>
      <c r="BP84">
        <f>'Spotřeba zemního plynu'!BB84</f>
        <v>0</v>
      </c>
    </row>
    <row r="85" spans="1:68" ht="15">
      <c r="A85" s="110" t="s">
        <v>108</v>
      </c>
      <c r="B85" s="85" t="s">
        <v>212</v>
      </c>
      <c r="C85" s="80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81">
        <f>'Seznam OM'!R88+'Seznam OM'!W88</f>
        <v>0</v>
      </c>
      <c r="P85" s="80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9">
        <f>'Seznam OM'!S88+'Seznam OM'!X88</f>
        <v>0</v>
      </c>
      <c r="AC85" s="80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81"/>
      <c r="AP85" s="80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9">
        <f t="shared" si="4"/>
        <v>0</v>
      </c>
      <c r="BC85" s="80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9">
        <f t="shared" si="5"/>
        <v>0</v>
      </c>
      <c r="BP85">
        <f>'Spotřeba zemního plynu'!BB85</f>
        <v>0</v>
      </c>
    </row>
    <row r="86" spans="1:68" ht="15">
      <c r="A86" s="110" t="s">
        <v>108</v>
      </c>
      <c r="B86" s="85" t="s">
        <v>214</v>
      </c>
      <c r="C86" s="80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81">
        <f>'Seznam OM'!R89+'Seznam OM'!W89</f>
        <v>0</v>
      </c>
      <c r="P86" s="80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9">
        <f>'Seznam OM'!S89+'Seznam OM'!X89</f>
        <v>0</v>
      </c>
      <c r="AC86" s="80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81"/>
      <c r="AP86" s="80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9">
        <f t="shared" si="4"/>
        <v>0</v>
      </c>
      <c r="BC86" s="80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9">
        <f t="shared" si="5"/>
        <v>0</v>
      </c>
      <c r="BP86">
        <f>'Spotřeba zemního plynu'!BB86</f>
        <v>0</v>
      </c>
    </row>
    <row r="87" spans="1:68" ht="15">
      <c r="A87" s="110" t="s">
        <v>108</v>
      </c>
      <c r="B87" s="85" t="s">
        <v>216</v>
      </c>
      <c r="C87" s="80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81">
        <f>'Seznam OM'!R90+'Seznam OM'!W90</f>
        <v>0</v>
      </c>
      <c r="P87" s="80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9">
        <f>'Seznam OM'!S90+'Seznam OM'!X90</f>
        <v>0</v>
      </c>
      <c r="AC87" s="80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81"/>
      <c r="AP87" s="80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9">
        <f t="shared" si="4"/>
        <v>0</v>
      </c>
      <c r="BC87" s="80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9">
        <f t="shared" si="5"/>
        <v>0</v>
      </c>
      <c r="BP87">
        <f>'Spotřeba zemního plynu'!BB87</f>
        <v>0</v>
      </c>
    </row>
    <row r="88" spans="1:68" ht="15">
      <c r="A88" s="110" t="s">
        <v>108</v>
      </c>
      <c r="B88" s="85" t="s">
        <v>218</v>
      </c>
      <c r="C88" s="80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81">
        <f>'Seznam OM'!R91+'Seznam OM'!W91</f>
        <v>0</v>
      </c>
      <c r="P88" s="80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9">
        <f>'Seznam OM'!S91+'Seznam OM'!X91</f>
        <v>0</v>
      </c>
      <c r="AC88" s="80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81"/>
      <c r="AP88" s="80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9">
        <f t="shared" si="4"/>
        <v>0</v>
      </c>
      <c r="BC88" s="80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9">
        <f t="shared" si="5"/>
        <v>0</v>
      </c>
      <c r="BP88">
        <f>'Spotřeba zemního plynu'!BB88</f>
        <v>0</v>
      </c>
    </row>
    <row r="89" spans="1:68" ht="15">
      <c r="A89" s="110" t="s">
        <v>108</v>
      </c>
      <c r="B89" s="85" t="s">
        <v>220</v>
      </c>
      <c r="C89" s="80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81">
        <f>'Seznam OM'!R92+'Seznam OM'!W92</f>
        <v>0</v>
      </c>
      <c r="P89" s="80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9">
        <f>'Seznam OM'!S92+'Seznam OM'!X92</f>
        <v>0</v>
      </c>
      <c r="AC89" s="80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81"/>
      <c r="AP89" s="80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9">
        <f t="shared" si="4"/>
        <v>0</v>
      </c>
      <c r="BC89" s="80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9">
        <f t="shared" si="5"/>
        <v>0</v>
      </c>
      <c r="BP89">
        <f>'Spotřeba zemního plynu'!BB89</f>
        <v>0</v>
      </c>
    </row>
    <row r="90" spans="1:68" ht="15">
      <c r="A90" s="110" t="s">
        <v>108</v>
      </c>
      <c r="B90" s="85" t="s">
        <v>222</v>
      </c>
      <c r="C90" s="80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81">
        <f>'Seznam OM'!R93+'Seznam OM'!W93</f>
        <v>0</v>
      </c>
      <c r="P90" s="80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9">
        <f>'Seznam OM'!S93+'Seznam OM'!X93</f>
        <v>0</v>
      </c>
      <c r="AC90" s="80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81"/>
      <c r="AP90" s="80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9">
        <f t="shared" si="4"/>
        <v>0</v>
      </c>
      <c r="BC90" s="80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9">
        <f t="shared" si="5"/>
        <v>0</v>
      </c>
      <c r="BP90">
        <f>'Spotřeba zemního plynu'!BB90</f>
        <v>0</v>
      </c>
    </row>
    <row r="91" spans="1:68" ht="15">
      <c r="A91" s="110" t="s">
        <v>108</v>
      </c>
      <c r="B91" s="85" t="s">
        <v>224</v>
      </c>
      <c r="C91" s="80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81">
        <f>'Seznam OM'!R94+'Seznam OM'!W94</f>
        <v>0</v>
      </c>
      <c r="P91" s="80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9">
        <f>'Seznam OM'!S94+'Seznam OM'!X94</f>
        <v>0</v>
      </c>
      <c r="AC91" s="80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81"/>
      <c r="AP91" s="80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9">
        <f t="shared" si="4"/>
        <v>0</v>
      </c>
      <c r="BC91" s="80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9">
        <f t="shared" si="5"/>
        <v>0</v>
      </c>
      <c r="BP91">
        <f>'Spotřeba zemního plynu'!BB91</f>
        <v>0</v>
      </c>
    </row>
    <row r="92" spans="1:68" ht="15">
      <c r="A92" s="110" t="s">
        <v>108</v>
      </c>
      <c r="B92" s="85" t="s">
        <v>226</v>
      </c>
      <c r="C92" s="80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81">
        <f>'Seznam OM'!R95+'Seznam OM'!W95</f>
        <v>0</v>
      </c>
      <c r="P92" s="80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9">
        <f>'Seznam OM'!S95+'Seznam OM'!X95</f>
        <v>0</v>
      </c>
      <c r="AC92" s="80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81"/>
      <c r="AP92" s="80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9">
        <f t="shared" si="4"/>
        <v>0</v>
      </c>
      <c r="BC92" s="80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9">
        <f t="shared" si="5"/>
        <v>0</v>
      </c>
      <c r="BP92">
        <f>'Spotřeba zemního plynu'!BB92</f>
        <v>0</v>
      </c>
    </row>
    <row r="93" spans="1:68" ht="15">
      <c r="A93" s="110" t="s">
        <v>108</v>
      </c>
      <c r="B93" s="85" t="s">
        <v>228</v>
      </c>
      <c r="C93" s="80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81"/>
      <c r="P93" s="80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81"/>
      <c r="AC93" s="80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81"/>
      <c r="AP93" s="80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9">
        <f t="shared" si="4"/>
        <v>0</v>
      </c>
      <c r="BC93" s="80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9">
        <f t="shared" si="5"/>
        <v>0</v>
      </c>
      <c r="BP93">
        <f>'Spotřeba zemního plynu'!BB93</f>
        <v>0</v>
      </c>
    </row>
    <row r="94" spans="1:68" ht="15">
      <c r="A94" s="110" t="s">
        <v>44</v>
      </c>
      <c r="B94" s="85" t="s">
        <v>230</v>
      </c>
      <c r="C94" s="80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81"/>
      <c r="P94" s="80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81"/>
      <c r="AC94" s="80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81"/>
      <c r="AP94" s="80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9">
        <f t="shared" si="4"/>
        <v>0</v>
      </c>
      <c r="BC94" s="80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9">
        <f t="shared" si="5"/>
        <v>0</v>
      </c>
      <c r="BP94">
        <f>'Spotřeba zemního plynu'!BB94</f>
        <v>0</v>
      </c>
    </row>
    <row r="95" spans="1:68" ht="15" thickBot="1">
      <c r="A95" s="112" t="s">
        <v>232</v>
      </c>
      <c r="B95" s="88" t="s">
        <v>233</v>
      </c>
      <c r="C95" s="82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4"/>
      <c r="P95" s="82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4"/>
      <c r="AC95" s="82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4"/>
      <c r="AP95" s="82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79">
        <f t="shared" si="4"/>
        <v>0</v>
      </c>
      <c r="BC95" s="82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79">
        <f t="shared" si="5"/>
        <v>0</v>
      </c>
      <c r="BP95">
        <f>'Spotřeba zemního plynu'!BB95</f>
        <v>0</v>
      </c>
    </row>
    <row r="96" spans="1:68" ht="15">
      <c r="A96" s="147" t="s">
        <v>44</v>
      </c>
      <c r="B96" s="147" t="s">
        <v>230</v>
      </c>
      <c r="C96" s="152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53"/>
      <c r="P96" s="152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53"/>
      <c r="AC96" s="152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53"/>
      <c r="AP96" s="152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53"/>
      <c r="BC96" s="152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53"/>
      <c r="BP96">
        <f>'Spotřeba zemního plynu'!BB96</f>
        <v>0</v>
      </c>
    </row>
    <row r="97" spans="1:67" ht="15">
      <c r="A97" s="89" t="s">
        <v>232</v>
      </c>
      <c r="B97" s="89" t="s">
        <v>233</v>
      </c>
      <c r="C97" s="80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81"/>
      <c r="P97" s="80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81"/>
      <c r="AC97" s="80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81"/>
      <c r="AP97" s="80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81"/>
      <c r="BC97" s="80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81"/>
    </row>
    <row r="98" spans="1:67" ht="15">
      <c r="A98" s="89" t="s">
        <v>237</v>
      </c>
      <c r="B98" s="89" t="s">
        <v>238</v>
      </c>
      <c r="C98" s="80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81"/>
      <c r="P98" s="80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81"/>
      <c r="AC98" s="80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81"/>
      <c r="AP98" s="80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81"/>
      <c r="BC98" s="80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81"/>
    </row>
    <row r="99" spans="1:67" ht="15">
      <c r="A99" s="89" t="s">
        <v>237</v>
      </c>
      <c r="B99" s="89" t="s">
        <v>240</v>
      </c>
      <c r="C99" s="80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81"/>
      <c r="P99" s="80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81"/>
      <c r="AC99" s="80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81"/>
      <c r="AP99" s="80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81"/>
      <c r="BC99" s="80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81"/>
    </row>
    <row r="100" spans="1:67" ht="15">
      <c r="A100" s="89" t="s">
        <v>237</v>
      </c>
      <c r="B100" s="89" t="s">
        <v>242</v>
      </c>
      <c r="C100" s="80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81"/>
      <c r="P100" s="80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81"/>
      <c r="AC100" s="80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81"/>
      <c r="AP100" s="80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81"/>
      <c r="BC100" s="80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81"/>
    </row>
    <row r="101" spans="1:67" ht="15">
      <c r="A101" s="89" t="s">
        <v>237</v>
      </c>
      <c r="B101" s="89" t="s">
        <v>244</v>
      </c>
      <c r="C101" s="80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81"/>
      <c r="P101" s="80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81"/>
      <c r="AC101" s="80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81"/>
      <c r="AP101" s="80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81"/>
      <c r="BC101" s="80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81"/>
    </row>
    <row r="102" spans="1:67" ht="15">
      <c r="A102" s="89" t="s">
        <v>237</v>
      </c>
      <c r="B102" s="89" t="s">
        <v>246</v>
      </c>
      <c r="C102" s="80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81"/>
      <c r="P102" s="80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81"/>
      <c r="AC102" s="80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81"/>
      <c r="AP102" s="80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81"/>
      <c r="BC102" s="80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81"/>
    </row>
    <row r="103" spans="1:67" ht="15">
      <c r="A103" s="89" t="s">
        <v>237</v>
      </c>
      <c r="B103" s="89" t="s">
        <v>248</v>
      </c>
      <c r="C103" s="80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81"/>
      <c r="P103" s="80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81"/>
      <c r="AC103" s="80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81"/>
      <c r="AP103" s="80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81"/>
      <c r="BC103" s="80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81"/>
    </row>
    <row r="104" spans="1:67" ht="15">
      <c r="A104" s="89" t="s">
        <v>237</v>
      </c>
      <c r="B104" s="89" t="s">
        <v>250</v>
      </c>
      <c r="C104" s="80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81"/>
      <c r="P104" s="80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81"/>
      <c r="AC104" s="80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81"/>
      <c r="AP104" s="80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81"/>
      <c r="BC104" s="80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81"/>
    </row>
    <row r="105" spans="1:67" ht="15">
      <c r="A105" s="89" t="s">
        <v>237</v>
      </c>
      <c r="B105" s="89" t="s">
        <v>252</v>
      </c>
      <c r="C105" s="80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81"/>
      <c r="P105" s="80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81"/>
      <c r="AC105" s="80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81"/>
      <c r="AP105" s="80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81"/>
      <c r="BC105" s="80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81"/>
    </row>
    <row r="106" spans="1:67" ht="15">
      <c r="A106" s="89" t="s">
        <v>237</v>
      </c>
      <c r="B106" s="89" t="s">
        <v>254</v>
      </c>
      <c r="C106" s="80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81"/>
      <c r="P106" s="80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81"/>
      <c r="AC106" s="80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81"/>
      <c r="AP106" s="80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81"/>
      <c r="BC106" s="80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81"/>
    </row>
    <row r="107" spans="1:67" ht="15">
      <c r="A107" s="89" t="s">
        <v>237</v>
      </c>
      <c r="B107" s="89" t="s">
        <v>256</v>
      </c>
      <c r="C107" s="80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81"/>
      <c r="P107" s="80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81"/>
      <c r="AC107" s="80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81"/>
      <c r="AP107" s="80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81"/>
      <c r="BC107" s="80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81"/>
    </row>
    <row r="108" spans="1:67" ht="15">
      <c r="A108" s="89" t="s">
        <v>237</v>
      </c>
      <c r="B108" s="89" t="s">
        <v>258</v>
      </c>
      <c r="C108" s="80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81"/>
      <c r="P108" s="80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81"/>
      <c r="AC108" s="80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81"/>
      <c r="AP108" s="80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81"/>
      <c r="BC108" s="80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81"/>
    </row>
    <row r="109" spans="1:67" ht="15">
      <c r="A109" s="89" t="s">
        <v>237</v>
      </c>
      <c r="B109" s="89" t="s">
        <v>260</v>
      </c>
      <c r="C109" s="80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81"/>
      <c r="P109" s="80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81"/>
      <c r="AC109" s="80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81"/>
      <c r="AP109" s="80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81"/>
      <c r="BC109" s="80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81"/>
    </row>
    <row r="110" spans="1:67" ht="15">
      <c r="A110" s="89" t="s">
        <v>237</v>
      </c>
      <c r="B110" s="89" t="s">
        <v>262</v>
      </c>
      <c r="C110" s="80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81"/>
      <c r="P110" s="80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81"/>
      <c r="AC110" s="80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81"/>
      <c r="AP110" s="80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81"/>
      <c r="BC110" s="80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81"/>
    </row>
    <row r="111" spans="1:67" ht="15">
      <c r="A111" s="89" t="s">
        <v>237</v>
      </c>
      <c r="B111" s="89" t="s">
        <v>264</v>
      </c>
      <c r="C111" s="80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81"/>
      <c r="P111" s="80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81"/>
      <c r="AC111" s="80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81"/>
      <c r="AP111" s="80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81"/>
      <c r="BC111" s="80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81"/>
    </row>
    <row r="112" spans="1:67" ht="15">
      <c r="A112" s="89" t="s">
        <v>237</v>
      </c>
      <c r="B112" s="89" t="s">
        <v>266</v>
      </c>
      <c r="C112" s="80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81"/>
      <c r="P112" s="80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81"/>
      <c r="AC112" s="80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81"/>
      <c r="AP112" s="80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81"/>
      <c r="BC112" s="80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81"/>
    </row>
    <row r="113" spans="1:67" ht="15">
      <c r="A113" s="89" t="s">
        <v>237</v>
      </c>
      <c r="B113" s="89" t="s">
        <v>268</v>
      </c>
      <c r="C113" s="80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81"/>
      <c r="P113" s="80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81"/>
      <c r="AC113" s="80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81"/>
      <c r="AP113" s="80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81"/>
      <c r="BC113" s="80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81"/>
    </row>
    <row r="114" spans="1:67" ht="15">
      <c r="A114" s="89" t="s">
        <v>237</v>
      </c>
      <c r="B114" s="89" t="s">
        <v>270</v>
      </c>
      <c r="C114" s="80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81"/>
      <c r="P114" s="80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81"/>
      <c r="AC114" s="80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81"/>
      <c r="AP114" s="80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81"/>
      <c r="BC114" s="80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81"/>
    </row>
    <row r="115" spans="1:67" ht="15">
      <c r="A115" s="89" t="s">
        <v>237</v>
      </c>
      <c r="B115" s="89" t="s">
        <v>272</v>
      </c>
      <c r="C115" s="80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81"/>
      <c r="P115" s="80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81"/>
      <c r="AC115" s="80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81"/>
      <c r="AP115" s="80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81"/>
      <c r="BC115" s="80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81"/>
    </row>
    <row r="116" spans="1:67" ht="15">
      <c r="A116" s="89" t="s">
        <v>237</v>
      </c>
      <c r="B116" s="89" t="s">
        <v>274</v>
      </c>
      <c r="C116" s="80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81"/>
      <c r="P116" s="80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81"/>
      <c r="AC116" s="80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81"/>
      <c r="AP116" s="80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81"/>
      <c r="BC116" s="80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81"/>
    </row>
    <row r="117" spans="1:67" ht="15">
      <c r="A117" s="89" t="s">
        <v>237</v>
      </c>
      <c r="B117" s="89" t="s">
        <v>276</v>
      </c>
      <c r="C117" s="80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81"/>
      <c r="P117" s="80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81"/>
      <c r="AC117" s="80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81"/>
      <c r="AP117" s="80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81"/>
      <c r="BC117" s="80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81"/>
    </row>
    <row r="118" spans="1:67" ht="15">
      <c r="A118" s="89" t="s">
        <v>237</v>
      </c>
      <c r="B118" s="89" t="s">
        <v>278</v>
      </c>
      <c r="C118" s="80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81"/>
      <c r="P118" s="80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81"/>
      <c r="AC118" s="80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81"/>
      <c r="AP118" s="80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81"/>
      <c r="BC118" s="80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81"/>
    </row>
    <row r="119" spans="1:67" ht="15">
      <c r="A119" s="89" t="s">
        <v>237</v>
      </c>
      <c r="B119" s="89" t="s">
        <v>280</v>
      </c>
      <c r="C119" s="80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81"/>
      <c r="P119" s="80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81"/>
      <c r="AC119" s="80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81"/>
      <c r="AP119" s="80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81"/>
      <c r="BC119" s="80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81"/>
    </row>
    <row r="120" spans="1:67" ht="15">
      <c r="A120" s="89" t="s">
        <v>237</v>
      </c>
      <c r="B120" s="89" t="s">
        <v>282</v>
      </c>
      <c r="C120" s="80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81"/>
      <c r="P120" s="80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81"/>
      <c r="AC120" s="80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81"/>
      <c r="AP120" s="80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81"/>
      <c r="BC120" s="80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81"/>
    </row>
    <row r="121" spans="1:67" ht="15">
      <c r="A121" s="89" t="s">
        <v>237</v>
      </c>
      <c r="B121" s="89" t="s">
        <v>284</v>
      </c>
      <c r="C121" s="80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81"/>
      <c r="P121" s="80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81"/>
      <c r="AC121" s="80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81"/>
      <c r="AP121" s="80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81"/>
      <c r="BC121" s="80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81"/>
    </row>
    <row r="122" spans="1:67" ht="15">
      <c r="A122" s="89" t="s">
        <v>237</v>
      </c>
      <c r="B122" s="89" t="s">
        <v>286</v>
      </c>
      <c r="C122" s="80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81"/>
      <c r="P122" s="80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81"/>
      <c r="AC122" s="80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81"/>
      <c r="AP122" s="80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81"/>
      <c r="BC122" s="80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81"/>
    </row>
    <row r="123" spans="1:67" ht="15">
      <c r="A123" s="89" t="s">
        <v>237</v>
      </c>
      <c r="B123" s="89" t="s">
        <v>288</v>
      </c>
      <c r="C123" s="80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81"/>
      <c r="P123" s="80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81"/>
      <c r="AC123" s="80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81"/>
      <c r="AP123" s="80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81"/>
      <c r="BC123" s="80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81"/>
    </row>
    <row r="124" spans="1:67" ht="15">
      <c r="A124" s="89" t="s">
        <v>237</v>
      </c>
      <c r="B124" s="89" t="s">
        <v>290</v>
      </c>
      <c r="C124" s="80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81"/>
      <c r="P124" s="80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81"/>
      <c r="AC124" s="80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81"/>
      <c r="AP124" s="80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81"/>
      <c r="BC124" s="80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81"/>
    </row>
    <row r="125" spans="1:67" ht="15">
      <c r="A125" s="89" t="s">
        <v>237</v>
      </c>
      <c r="B125" s="89" t="s">
        <v>292</v>
      </c>
      <c r="C125" s="80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81"/>
      <c r="P125" s="80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81"/>
      <c r="AC125" s="80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81"/>
      <c r="AP125" s="80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81"/>
      <c r="BC125" s="80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81"/>
    </row>
    <row r="126" spans="1:67" ht="15">
      <c r="A126" s="89" t="s">
        <v>237</v>
      </c>
      <c r="B126" s="89" t="s">
        <v>294</v>
      </c>
      <c r="C126" s="80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81"/>
      <c r="P126" s="80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81"/>
      <c r="AC126" s="80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81"/>
      <c r="AP126" s="80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81"/>
      <c r="BC126" s="80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81"/>
    </row>
    <row r="127" spans="1:67" ht="15">
      <c r="A127" s="89" t="s">
        <v>237</v>
      </c>
      <c r="B127" s="89" t="s">
        <v>296</v>
      </c>
      <c r="C127" s="80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81"/>
      <c r="P127" s="80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81"/>
      <c r="AC127" s="80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81"/>
      <c r="AP127" s="80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81"/>
      <c r="BC127" s="80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81"/>
    </row>
    <row r="128" spans="1:67" ht="15">
      <c r="A128" s="89" t="s">
        <v>237</v>
      </c>
      <c r="B128" s="89" t="s">
        <v>298</v>
      </c>
      <c r="C128" s="80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81"/>
      <c r="P128" s="80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81"/>
      <c r="AC128" s="80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81"/>
      <c r="AP128" s="80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81"/>
      <c r="BC128" s="80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81"/>
    </row>
    <row r="129" spans="1:67" ht="15">
      <c r="A129" s="89" t="s">
        <v>237</v>
      </c>
      <c r="B129" s="89" t="s">
        <v>300</v>
      </c>
      <c r="C129" s="80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81"/>
      <c r="P129" s="80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81"/>
      <c r="AC129" s="80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81"/>
      <c r="AP129" s="80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81"/>
      <c r="BC129" s="80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81"/>
    </row>
    <row r="130" spans="1:67" ht="15">
      <c r="A130" s="89" t="s">
        <v>237</v>
      </c>
      <c r="B130" s="89" t="s">
        <v>302</v>
      </c>
      <c r="C130" s="80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81"/>
      <c r="P130" s="80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81"/>
      <c r="AC130" s="80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81"/>
      <c r="AP130" s="80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81"/>
      <c r="BC130" s="80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81"/>
    </row>
    <row r="131" spans="1:67" ht="15">
      <c r="A131" s="89" t="s">
        <v>237</v>
      </c>
      <c r="B131" s="89" t="s">
        <v>304</v>
      </c>
      <c r="C131" s="80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81"/>
      <c r="P131" s="80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81"/>
      <c r="AC131" s="80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81"/>
      <c r="AP131" s="80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81"/>
      <c r="BC131" s="80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81"/>
    </row>
    <row r="132" spans="1:67" ht="15">
      <c r="A132" s="89" t="s">
        <v>237</v>
      </c>
      <c r="B132" s="89" t="s">
        <v>306</v>
      </c>
      <c r="C132" s="80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81"/>
      <c r="P132" s="80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81"/>
      <c r="AC132" s="80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81"/>
      <c r="AP132" s="80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81"/>
      <c r="BC132" s="80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81"/>
    </row>
    <row r="133" spans="1:67" ht="15">
      <c r="A133" s="89" t="s">
        <v>237</v>
      </c>
      <c r="B133" s="89" t="s">
        <v>308</v>
      </c>
      <c r="C133" s="80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81"/>
      <c r="P133" s="80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81"/>
      <c r="AC133" s="80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81"/>
      <c r="AP133" s="80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81"/>
      <c r="BC133" s="80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81"/>
    </row>
    <row r="134" spans="1:67" ht="15">
      <c r="A134" s="89" t="s">
        <v>237</v>
      </c>
      <c r="B134" s="89" t="s">
        <v>310</v>
      </c>
      <c r="C134" s="80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81"/>
      <c r="P134" s="80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81"/>
      <c r="AC134" s="80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81"/>
      <c r="AP134" s="80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81"/>
      <c r="BC134" s="80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81"/>
    </row>
    <row r="135" spans="1:67" ht="15">
      <c r="A135" s="89" t="s">
        <v>237</v>
      </c>
      <c r="B135" s="89" t="s">
        <v>312</v>
      </c>
      <c r="C135" s="80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81"/>
      <c r="P135" s="80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81"/>
      <c r="AC135" s="80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81"/>
      <c r="AP135" s="80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81"/>
      <c r="BC135" s="80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81"/>
    </row>
    <row r="136" spans="1:67" ht="15">
      <c r="A136" s="89" t="s">
        <v>237</v>
      </c>
      <c r="B136" s="89" t="s">
        <v>314</v>
      </c>
      <c r="C136" s="80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81"/>
      <c r="P136" s="80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81"/>
      <c r="AC136" s="80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81"/>
      <c r="AP136" s="80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81"/>
      <c r="BC136" s="80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81"/>
    </row>
    <row r="137" spans="1:67" ht="15">
      <c r="A137" s="89" t="s">
        <v>237</v>
      </c>
      <c r="B137" s="89" t="s">
        <v>316</v>
      </c>
      <c r="C137" s="80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81"/>
      <c r="P137" s="80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81"/>
      <c r="AC137" s="80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81"/>
      <c r="AP137" s="80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81"/>
      <c r="BC137" s="80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81"/>
    </row>
    <row r="138" spans="1:67" ht="15">
      <c r="A138" s="89" t="s">
        <v>237</v>
      </c>
      <c r="B138" s="89" t="s">
        <v>318</v>
      </c>
      <c r="C138" s="80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81"/>
      <c r="P138" s="80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81"/>
      <c r="AC138" s="80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81"/>
      <c r="AP138" s="80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81"/>
      <c r="BC138" s="80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81"/>
    </row>
    <row r="139" spans="1:67" ht="15">
      <c r="A139" s="89" t="s">
        <v>237</v>
      </c>
      <c r="B139" s="89" t="s">
        <v>320</v>
      </c>
      <c r="C139" s="80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81"/>
      <c r="P139" s="80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81"/>
      <c r="AC139" s="80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81"/>
      <c r="AP139" s="80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81"/>
      <c r="BC139" s="80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81"/>
    </row>
    <row r="140" spans="1:67" ht="15">
      <c r="A140" s="89" t="s">
        <v>237</v>
      </c>
      <c r="B140" s="89" t="s">
        <v>322</v>
      </c>
      <c r="C140" s="80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81"/>
      <c r="P140" s="80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81"/>
      <c r="AC140" s="80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81"/>
      <c r="AP140" s="80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81"/>
      <c r="BC140" s="80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81"/>
    </row>
    <row r="141" spans="1:67" ht="15">
      <c r="A141" s="89" t="s">
        <v>237</v>
      </c>
      <c r="B141" s="89" t="s">
        <v>324</v>
      </c>
      <c r="C141" s="80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81"/>
      <c r="P141" s="80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81"/>
      <c r="AC141" s="80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81"/>
      <c r="AP141" s="80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81"/>
      <c r="BC141" s="80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81"/>
    </row>
    <row r="142" spans="1:67" ht="15">
      <c r="A142" s="89" t="s">
        <v>237</v>
      </c>
      <c r="B142" s="89" t="s">
        <v>326</v>
      </c>
      <c r="C142" s="80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81"/>
      <c r="P142" s="80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81"/>
      <c r="AC142" s="80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81"/>
      <c r="AP142" s="80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81"/>
      <c r="BC142" s="80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81"/>
    </row>
    <row r="143" spans="1:67" ht="15">
      <c r="A143" s="89" t="s">
        <v>237</v>
      </c>
      <c r="B143" s="89" t="s">
        <v>328</v>
      </c>
      <c r="C143" s="80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81"/>
      <c r="P143" s="80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81"/>
      <c r="AC143" s="80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81"/>
      <c r="AP143" s="80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81"/>
      <c r="BC143" s="80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81"/>
    </row>
    <row r="144" spans="1:67" ht="15">
      <c r="A144" s="89" t="s">
        <v>237</v>
      </c>
      <c r="B144" s="89" t="s">
        <v>330</v>
      </c>
      <c r="C144" s="80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81"/>
      <c r="P144" s="80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81"/>
      <c r="AC144" s="80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81"/>
      <c r="AP144" s="80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81"/>
      <c r="BC144" s="80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81"/>
    </row>
    <row r="145" spans="1:67" ht="15">
      <c r="A145" s="89" t="s">
        <v>237</v>
      </c>
      <c r="B145" s="89" t="s">
        <v>332</v>
      </c>
      <c r="C145" s="80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81"/>
      <c r="P145" s="80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81"/>
      <c r="AC145" s="80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81"/>
      <c r="AP145" s="80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81"/>
      <c r="BC145" s="80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81"/>
    </row>
    <row r="146" spans="1:67" ht="15">
      <c r="A146" s="89" t="s">
        <v>237</v>
      </c>
      <c r="B146" s="89" t="s">
        <v>334</v>
      </c>
      <c r="C146" s="80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81"/>
      <c r="P146" s="80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81"/>
      <c r="AC146" s="80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81"/>
      <c r="AP146" s="80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81"/>
      <c r="BC146" s="80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81"/>
    </row>
    <row r="147" spans="1:67" ht="15">
      <c r="A147" s="89" t="s">
        <v>237</v>
      </c>
      <c r="B147" s="89" t="s">
        <v>336</v>
      </c>
      <c r="C147" s="80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81"/>
      <c r="P147" s="80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81"/>
      <c r="AC147" s="80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81"/>
      <c r="AP147" s="80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81"/>
      <c r="BC147" s="80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81"/>
    </row>
    <row r="148" spans="1:67" ht="15">
      <c r="A148" s="89" t="s">
        <v>237</v>
      </c>
      <c r="B148" s="89" t="s">
        <v>338</v>
      </c>
      <c r="C148" s="80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81"/>
      <c r="P148" s="80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81"/>
      <c r="AC148" s="80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81"/>
      <c r="AP148" s="80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81"/>
      <c r="BC148" s="80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81"/>
    </row>
    <row r="149" spans="1:67" ht="15">
      <c r="A149" s="89" t="s">
        <v>237</v>
      </c>
      <c r="B149" s="89" t="s">
        <v>340</v>
      </c>
      <c r="C149" s="80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81"/>
      <c r="P149" s="80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81"/>
      <c r="AC149" s="80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81"/>
      <c r="AP149" s="80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81"/>
      <c r="BC149" s="80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81"/>
    </row>
    <row r="150" spans="1:67" ht="15">
      <c r="A150" s="89" t="s">
        <v>237</v>
      </c>
      <c r="B150" s="89" t="s">
        <v>342</v>
      </c>
      <c r="C150" s="80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81"/>
      <c r="P150" s="80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81"/>
      <c r="AC150" s="80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81"/>
      <c r="AP150" s="80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81"/>
      <c r="BC150" s="80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81"/>
    </row>
    <row r="151" spans="1:67" ht="15">
      <c r="A151" s="89" t="s">
        <v>237</v>
      </c>
      <c r="B151" s="89" t="s">
        <v>344</v>
      </c>
      <c r="C151" s="80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81"/>
      <c r="P151" s="80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81"/>
      <c r="AC151" s="80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81"/>
      <c r="AP151" s="80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81"/>
      <c r="BC151" s="80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81"/>
    </row>
    <row r="152" spans="1:67" ht="15">
      <c r="A152" s="89" t="s">
        <v>237</v>
      </c>
      <c r="B152" s="89" t="s">
        <v>346</v>
      </c>
      <c r="C152" s="80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81"/>
      <c r="P152" s="80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81"/>
      <c r="AC152" s="80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81"/>
      <c r="AP152" s="80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81"/>
      <c r="BC152" s="80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81"/>
    </row>
    <row r="153" spans="1:67" ht="15">
      <c r="A153" s="89" t="s">
        <v>237</v>
      </c>
      <c r="B153" s="89" t="s">
        <v>348</v>
      </c>
      <c r="C153" s="80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81"/>
      <c r="P153" s="80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81"/>
      <c r="AC153" s="80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81"/>
      <c r="AP153" s="80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81"/>
      <c r="BC153" s="80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81"/>
    </row>
    <row r="154" spans="1:67" ht="15">
      <c r="A154" s="89" t="s">
        <v>237</v>
      </c>
      <c r="B154" s="89" t="s">
        <v>350</v>
      </c>
      <c r="C154" s="80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81"/>
      <c r="P154" s="80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81"/>
      <c r="AC154" s="80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81"/>
      <c r="AP154" s="80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81"/>
      <c r="BC154" s="80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81"/>
    </row>
    <row r="155" spans="1:67" ht="15">
      <c r="A155" s="89" t="s">
        <v>237</v>
      </c>
      <c r="B155" s="89" t="s">
        <v>352</v>
      </c>
      <c r="C155" s="80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81"/>
      <c r="P155" s="80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81"/>
      <c r="AC155" s="80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81"/>
      <c r="AP155" s="80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81"/>
      <c r="BC155" s="80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81"/>
    </row>
    <row r="156" spans="1:67" ht="15">
      <c r="A156" s="89" t="s">
        <v>237</v>
      </c>
      <c r="B156" s="89" t="s">
        <v>354</v>
      </c>
      <c r="C156" s="80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81"/>
      <c r="P156" s="80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81"/>
      <c r="AC156" s="80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81"/>
      <c r="AP156" s="80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81"/>
      <c r="BC156" s="80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81"/>
    </row>
    <row r="157" spans="1:67" ht="15">
      <c r="A157" s="89" t="s">
        <v>237</v>
      </c>
      <c r="B157" s="89" t="s">
        <v>356</v>
      </c>
      <c r="C157" s="80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81"/>
      <c r="P157" s="80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81"/>
      <c r="AC157" s="80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81"/>
      <c r="AP157" s="80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81"/>
      <c r="BC157" s="80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81"/>
    </row>
    <row r="158" spans="1:67" ht="15">
      <c r="A158" s="89" t="s">
        <v>237</v>
      </c>
      <c r="B158" s="89" t="s">
        <v>358</v>
      </c>
      <c r="C158" s="80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81"/>
      <c r="P158" s="80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81"/>
      <c r="AC158" s="80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81"/>
      <c r="AP158" s="80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81"/>
      <c r="BC158" s="80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81"/>
    </row>
    <row r="159" spans="1:67" ht="15">
      <c r="A159" s="89" t="s">
        <v>237</v>
      </c>
      <c r="B159" s="89" t="s">
        <v>360</v>
      </c>
      <c r="C159" s="80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81"/>
      <c r="P159" s="80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81"/>
      <c r="AC159" s="80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81"/>
      <c r="AP159" s="80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81"/>
      <c r="BC159" s="80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81"/>
    </row>
    <row r="160" spans="1:67" ht="15">
      <c r="A160" s="89" t="s">
        <v>237</v>
      </c>
      <c r="B160" s="89" t="s">
        <v>362</v>
      </c>
      <c r="C160" s="80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81"/>
      <c r="P160" s="80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81"/>
      <c r="AC160" s="80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81"/>
      <c r="AP160" s="80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81"/>
      <c r="BC160" s="80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81"/>
    </row>
    <row r="161" spans="1:67" ht="15">
      <c r="A161" s="89" t="s">
        <v>237</v>
      </c>
      <c r="B161" s="89" t="s">
        <v>364</v>
      </c>
      <c r="C161" s="80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81"/>
      <c r="P161" s="80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81"/>
      <c r="AC161" s="80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81"/>
      <c r="AP161" s="80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81"/>
      <c r="BC161" s="80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81"/>
    </row>
    <row r="162" spans="1:67" ht="15">
      <c r="A162" s="89" t="s">
        <v>237</v>
      </c>
      <c r="B162" s="89" t="s">
        <v>366</v>
      </c>
      <c r="C162" s="80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81"/>
      <c r="P162" s="80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81"/>
      <c r="AC162" s="80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81"/>
      <c r="AP162" s="80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81"/>
      <c r="BC162" s="80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81"/>
    </row>
    <row r="163" spans="1:67" ht="15">
      <c r="A163" s="89" t="s">
        <v>237</v>
      </c>
      <c r="B163" s="89" t="s">
        <v>368</v>
      </c>
      <c r="C163" s="80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81"/>
      <c r="P163" s="80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81"/>
      <c r="AC163" s="80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81"/>
      <c r="AP163" s="80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81"/>
      <c r="BC163" s="80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81"/>
    </row>
    <row r="164" spans="1:67" ht="15">
      <c r="A164" s="89" t="s">
        <v>237</v>
      </c>
      <c r="B164" s="89" t="s">
        <v>370</v>
      </c>
      <c r="C164" s="80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81"/>
      <c r="P164" s="80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81"/>
      <c r="AC164" s="80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81"/>
      <c r="AP164" s="80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81"/>
      <c r="BC164" s="80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81"/>
    </row>
    <row r="165" spans="1:67" ht="15">
      <c r="A165" s="89" t="s">
        <v>237</v>
      </c>
      <c r="B165" s="89" t="s">
        <v>372</v>
      </c>
      <c r="C165" s="80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81"/>
      <c r="P165" s="80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81"/>
      <c r="AC165" s="80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81"/>
      <c r="AP165" s="80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81"/>
      <c r="BC165" s="80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81"/>
    </row>
    <row r="166" spans="1:67" ht="15">
      <c r="A166" s="89" t="s">
        <v>237</v>
      </c>
      <c r="B166" s="89" t="s">
        <v>374</v>
      </c>
      <c r="C166" s="80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81"/>
      <c r="P166" s="80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81"/>
      <c r="AC166" s="80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81"/>
      <c r="AP166" s="80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81"/>
      <c r="BC166" s="80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81"/>
    </row>
    <row r="167" spans="1:67" ht="15">
      <c r="A167" s="89" t="s">
        <v>237</v>
      </c>
      <c r="B167" s="89" t="s">
        <v>376</v>
      </c>
      <c r="C167" s="80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81"/>
      <c r="P167" s="80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81"/>
      <c r="AC167" s="80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81"/>
      <c r="AP167" s="80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81"/>
      <c r="BC167" s="80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81"/>
    </row>
    <row r="168" spans="1:67" ht="15">
      <c r="A168" s="89" t="s">
        <v>237</v>
      </c>
      <c r="B168" s="89" t="s">
        <v>378</v>
      </c>
      <c r="C168" s="80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81"/>
      <c r="P168" s="80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81"/>
      <c r="AC168" s="80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81"/>
      <c r="AP168" s="80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81"/>
      <c r="BC168" s="80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81"/>
    </row>
    <row r="169" spans="1:67" ht="15">
      <c r="A169" s="89" t="s">
        <v>237</v>
      </c>
      <c r="B169" s="89" t="s">
        <v>380</v>
      </c>
      <c r="C169" s="80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81"/>
      <c r="P169" s="80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81"/>
      <c r="AC169" s="80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81"/>
      <c r="AP169" s="80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81"/>
      <c r="BC169" s="80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81"/>
    </row>
    <row r="170" spans="1:67" ht="15">
      <c r="A170" s="89" t="s">
        <v>237</v>
      </c>
      <c r="B170" s="89" t="s">
        <v>382</v>
      </c>
      <c r="C170" s="80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81"/>
      <c r="P170" s="80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81"/>
      <c r="AC170" s="80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81"/>
      <c r="AP170" s="80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81"/>
      <c r="BC170" s="80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81"/>
    </row>
    <row r="171" spans="1:67" ht="15">
      <c r="A171" s="89" t="s">
        <v>237</v>
      </c>
      <c r="B171" s="89" t="s">
        <v>384</v>
      </c>
      <c r="C171" s="80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81"/>
      <c r="P171" s="80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81"/>
      <c r="AC171" s="80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81"/>
      <c r="AP171" s="80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81"/>
      <c r="BC171" s="80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81"/>
    </row>
    <row r="172" spans="1:67" ht="15">
      <c r="A172" s="89" t="s">
        <v>237</v>
      </c>
      <c r="B172" s="89" t="s">
        <v>386</v>
      </c>
      <c r="C172" s="80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81"/>
      <c r="P172" s="80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81"/>
      <c r="AC172" s="80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81"/>
      <c r="AP172" s="80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81"/>
      <c r="BC172" s="80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81"/>
    </row>
    <row r="173" spans="1:67" ht="15">
      <c r="A173" s="89" t="s">
        <v>237</v>
      </c>
      <c r="B173" s="89" t="s">
        <v>387</v>
      </c>
      <c r="C173" s="80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81"/>
      <c r="P173" s="80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81"/>
      <c r="AC173" s="80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81"/>
      <c r="AP173" s="80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81"/>
      <c r="BC173" s="80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81"/>
    </row>
    <row r="174" spans="1:67" ht="15">
      <c r="A174" s="89" t="s">
        <v>232</v>
      </c>
      <c r="B174" s="89" t="s">
        <v>389</v>
      </c>
      <c r="C174" s="80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81"/>
      <c r="P174" s="80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81"/>
      <c r="AC174" s="80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81"/>
      <c r="AP174" s="80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81"/>
      <c r="BC174" s="80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81"/>
    </row>
    <row r="175" spans="1:67" ht="15">
      <c r="A175" s="89" t="s">
        <v>44</v>
      </c>
      <c r="B175" s="89" t="s">
        <v>391</v>
      </c>
      <c r="C175" s="80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81"/>
      <c r="P175" s="80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81"/>
      <c r="AC175" s="80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81"/>
      <c r="AP175" s="80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81"/>
      <c r="BC175" s="80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81"/>
    </row>
    <row r="176" spans="1:67" ht="15">
      <c r="A176" s="89" t="s">
        <v>44</v>
      </c>
      <c r="B176" s="89" t="s">
        <v>393</v>
      </c>
      <c r="C176" s="80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81"/>
      <c r="P176" s="80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81"/>
      <c r="AC176" s="80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81"/>
      <c r="AP176" s="80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81"/>
      <c r="BC176" s="80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81"/>
    </row>
    <row r="177" spans="1:67" ht="15">
      <c r="A177" s="89" t="s">
        <v>44</v>
      </c>
      <c r="B177" s="89" t="s">
        <v>395</v>
      </c>
      <c r="C177" s="80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81"/>
      <c r="P177" s="80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81"/>
      <c r="AC177" s="80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81"/>
      <c r="AP177" s="80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81"/>
      <c r="BC177" s="80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81"/>
    </row>
    <row r="178" spans="1:67" ht="15">
      <c r="A178" s="89" t="s">
        <v>44</v>
      </c>
      <c r="B178" s="89" t="s">
        <v>397</v>
      </c>
      <c r="C178" s="80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81"/>
      <c r="P178" s="80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81"/>
      <c r="AC178" s="80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81"/>
      <c r="AP178" s="80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81"/>
      <c r="BC178" s="80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81"/>
    </row>
    <row r="179" spans="1:67" ht="15">
      <c r="A179" s="89" t="s">
        <v>108</v>
      </c>
      <c r="B179" s="89" t="s">
        <v>399</v>
      </c>
      <c r="C179" s="80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81"/>
      <c r="P179" s="80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81"/>
      <c r="AC179" s="80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81"/>
      <c r="AP179" s="80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81"/>
      <c r="BC179" s="80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81"/>
    </row>
    <row r="180" spans="1:67" ht="15" thickBot="1">
      <c r="A180" s="148" t="s">
        <v>44</v>
      </c>
      <c r="B180" s="148" t="s">
        <v>401</v>
      </c>
      <c r="C180" s="82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4"/>
      <c r="P180" s="82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4"/>
      <c r="AC180" s="82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4"/>
      <c r="AP180" s="82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4"/>
      <c r="BC180" s="82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4"/>
    </row>
  </sheetData>
  <autoFilter ref="B1:B96"/>
  <mergeCells count="17">
    <mergeCell ref="B1:B3"/>
    <mergeCell ref="A1:A3"/>
    <mergeCell ref="C2:N2"/>
    <mergeCell ref="C1:O1"/>
    <mergeCell ref="O2:O3"/>
    <mergeCell ref="P1:AB1"/>
    <mergeCell ref="P2:AA2"/>
    <mergeCell ref="AB2:AB3"/>
    <mergeCell ref="AC1:AO1"/>
    <mergeCell ref="AC2:AN2"/>
    <mergeCell ref="AO2:AO3"/>
    <mergeCell ref="BC1:BO1"/>
    <mergeCell ref="BC2:BN2"/>
    <mergeCell ref="BO2:BO3"/>
    <mergeCell ref="AP1:BB1"/>
    <mergeCell ref="AP2:BA2"/>
    <mergeCell ref="BB2:BB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1EBC-901D-42C4-8553-2B37900EC5A3}">
  <dimension ref="A1:BO180"/>
  <sheetViews>
    <sheetView workbookViewId="0" topLeftCell="AS1">
      <selection activeCell="BH10" sqref="BH10"/>
    </sheetView>
  </sheetViews>
  <sheetFormatPr defaultColWidth="9.140625" defaultRowHeight="15"/>
  <cols>
    <col min="1" max="1" width="39.8515625" style="0" customWidth="1"/>
    <col min="2" max="2" width="35.8515625" style="0" customWidth="1"/>
    <col min="3" max="29" width="9.8515625" style="0" customWidth="1"/>
  </cols>
  <sheetData>
    <row r="1" spans="1:67" ht="15">
      <c r="A1" s="194" t="s">
        <v>8</v>
      </c>
      <c r="B1" s="191" t="s">
        <v>9</v>
      </c>
      <c r="C1" s="184">
        <v>2018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6"/>
      <c r="P1" s="184">
        <v>2019</v>
      </c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6"/>
      <c r="AC1" s="184">
        <v>2020</v>
      </c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6"/>
      <c r="AP1" s="184">
        <v>2021</v>
      </c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6"/>
      <c r="BC1" s="177">
        <v>2022</v>
      </c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9"/>
    </row>
    <row r="2" spans="1:67" ht="14.4" customHeight="1">
      <c r="A2" s="195"/>
      <c r="B2" s="192"/>
      <c r="C2" s="187" t="s">
        <v>417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9" t="s">
        <v>418</v>
      </c>
      <c r="P2" s="187" t="s">
        <v>417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9" t="s">
        <v>418</v>
      </c>
      <c r="AC2" s="187" t="s">
        <v>417</v>
      </c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9" t="s">
        <v>642</v>
      </c>
      <c r="AP2" s="187" t="s">
        <v>417</v>
      </c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9" t="s">
        <v>642</v>
      </c>
      <c r="BC2" s="180" t="s">
        <v>417</v>
      </c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2" t="s">
        <v>642</v>
      </c>
    </row>
    <row r="3" spans="1:67" ht="68.4" customHeight="1" thickBot="1">
      <c r="A3" s="196"/>
      <c r="B3" s="193"/>
      <c r="C3" s="77" t="s">
        <v>403</v>
      </c>
      <c r="D3" s="76" t="s">
        <v>404</v>
      </c>
      <c r="E3" s="76" t="s">
        <v>405</v>
      </c>
      <c r="F3" s="76" t="s">
        <v>406</v>
      </c>
      <c r="G3" s="76" t="s">
        <v>407</v>
      </c>
      <c r="H3" s="76" t="s">
        <v>408</v>
      </c>
      <c r="I3" s="76" t="s">
        <v>409</v>
      </c>
      <c r="J3" s="76" t="s">
        <v>410</v>
      </c>
      <c r="K3" s="76" t="s">
        <v>411</v>
      </c>
      <c r="L3" s="76" t="s">
        <v>412</v>
      </c>
      <c r="M3" s="76" t="s">
        <v>413</v>
      </c>
      <c r="N3" s="76" t="s">
        <v>414</v>
      </c>
      <c r="O3" s="190"/>
      <c r="P3" s="77" t="s">
        <v>403</v>
      </c>
      <c r="Q3" s="76" t="s">
        <v>404</v>
      </c>
      <c r="R3" s="76" t="s">
        <v>405</v>
      </c>
      <c r="S3" s="76" t="s">
        <v>406</v>
      </c>
      <c r="T3" s="76" t="s">
        <v>407</v>
      </c>
      <c r="U3" s="76" t="s">
        <v>408</v>
      </c>
      <c r="V3" s="76" t="s">
        <v>409</v>
      </c>
      <c r="W3" s="76" t="s">
        <v>410</v>
      </c>
      <c r="X3" s="76" t="s">
        <v>411</v>
      </c>
      <c r="Y3" s="76" t="s">
        <v>412</v>
      </c>
      <c r="Z3" s="76" t="s">
        <v>413</v>
      </c>
      <c r="AA3" s="76" t="s">
        <v>414</v>
      </c>
      <c r="AB3" s="190"/>
      <c r="AC3" s="77" t="s">
        <v>403</v>
      </c>
      <c r="AD3" s="76" t="s">
        <v>404</v>
      </c>
      <c r="AE3" s="76" t="s">
        <v>405</v>
      </c>
      <c r="AF3" s="76" t="s">
        <v>406</v>
      </c>
      <c r="AG3" s="76" t="s">
        <v>407</v>
      </c>
      <c r="AH3" s="76" t="s">
        <v>408</v>
      </c>
      <c r="AI3" s="76" t="s">
        <v>409</v>
      </c>
      <c r="AJ3" s="76" t="s">
        <v>410</v>
      </c>
      <c r="AK3" s="76" t="s">
        <v>411</v>
      </c>
      <c r="AL3" s="76" t="s">
        <v>412</v>
      </c>
      <c r="AM3" s="76" t="s">
        <v>413</v>
      </c>
      <c r="AN3" s="76" t="s">
        <v>414</v>
      </c>
      <c r="AO3" s="190"/>
      <c r="AP3" s="77" t="s">
        <v>403</v>
      </c>
      <c r="AQ3" s="76" t="s">
        <v>404</v>
      </c>
      <c r="AR3" s="76" t="s">
        <v>405</v>
      </c>
      <c r="AS3" s="76" t="s">
        <v>406</v>
      </c>
      <c r="AT3" s="76" t="s">
        <v>407</v>
      </c>
      <c r="AU3" s="76" t="s">
        <v>408</v>
      </c>
      <c r="AV3" s="76" t="s">
        <v>409</v>
      </c>
      <c r="AW3" s="76" t="s">
        <v>410</v>
      </c>
      <c r="AX3" s="76" t="s">
        <v>411</v>
      </c>
      <c r="AY3" s="76" t="s">
        <v>412</v>
      </c>
      <c r="AZ3" s="76" t="s">
        <v>413</v>
      </c>
      <c r="BA3" s="76" t="s">
        <v>414</v>
      </c>
      <c r="BB3" s="190"/>
      <c r="BC3" s="170" t="s">
        <v>403</v>
      </c>
      <c r="BD3" s="171" t="s">
        <v>404</v>
      </c>
      <c r="BE3" s="171" t="s">
        <v>405</v>
      </c>
      <c r="BF3" s="171" t="s">
        <v>406</v>
      </c>
      <c r="BG3" s="171" t="s">
        <v>407</v>
      </c>
      <c r="BH3" s="171" t="s">
        <v>408</v>
      </c>
      <c r="BI3" s="171" t="s">
        <v>409</v>
      </c>
      <c r="BJ3" s="171" t="s">
        <v>410</v>
      </c>
      <c r="BK3" s="171" t="s">
        <v>411</v>
      </c>
      <c r="BL3" s="171" t="s">
        <v>412</v>
      </c>
      <c r="BM3" s="171" t="s">
        <v>413</v>
      </c>
      <c r="BN3" s="171" t="s">
        <v>414</v>
      </c>
      <c r="BO3" s="183"/>
    </row>
    <row r="4" spans="1:67" ht="15">
      <c r="A4" s="104" t="s">
        <v>18</v>
      </c>
      <c r="B4" s="97" t="s">
        <v>19</v>
      </c>
      <c r="C4" s="78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9">
        <f>'Seznam OM'!M7</f>
        <v>0</v>
      </c>
      <c r="P4" s="78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9">
        <f>'Seznam OM'!N7</f>
        <v>0</v>
      </c>
      <c r="AC4" s="78">
        <v>171</v>
      </c>
      <c r="AD4" s="75">
        <v>133</v>
      </c>
      <c r="AE4" s="75">
        <v>120</v>
      </c>
      <c r="AF4" s="75">
        <v>77</v>
      </c>
      <c r="AG4" s="75">
        <v>42</v>
      </c>
      <c r="AH4" s="75">
        <v>26</v>
      </c>
      <c r="AI4" s="75">
        <v>22</v>
      </c>
      <c r="AJ4" s="75">
        <v>44</v>
      </c>
      <c r="AK4" s="75">
        <v>73</v>
      </c>
      <c r="AL4" s="75">
        <v>83</v>
      </c>
      <c r="AM4" s="75">
        <v>100</v>
      </c>
      <c r="AN4" s="75">
        <v>127</v>
      </c>
      <c r="AO4" s="79">
        <v>1018</v>
      </c>
      <c r="AP4" s="78">
        <v>130</v>
      </c>
      <c r="AQ4" s="75">
        <v>117</v>
      </c>
      <c r="AR4" s="75">
        <v>108</v>
      </c>
      <c r="AS4" s="75">
        <v>83</v>
      </c>
      <c r="AT4" s="75">
        <v>38</v>
      </c>
      <c r="AU4" s="75">
        <v>22</v>
      </c>
      <c r="AV4" s="75">
        <v>26</v>
      </c>
      <c r="AW4" s="75">
        <v>50</v>
      </c>
      <c r="AX4" s="75">
        <v>81</v>
      </c>
      <c r="AY4" s="75">
        <v>111</v>
      </c>
      <c r="AZ4" s="75">
        <v>123</v>
      </c>
      <c r="BA4" s="75">
        <v>136</v>
      </c>
      <c r="BB4" s="79">
        <f>(SUM(AP4:BA4)+SUM(AC4:AN4))/2</f>
        <v>1021.5</v>
      </c>
      <c r="BC4" s="78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9"/>
    </row>
    <row r="5" spans="1:67" ht="15">
      <c r="A5" s="105" t="s">
        <v>21</v>
      </c>
      <c r="B5" s="98" t="s">
        <v>22</v>
      </c>
      <c r="C5" s="80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9">
        <f>'Seznam OM'!M8</f>
        <v>0</v>
      </c>
      <c r="P5" s="80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9">
        <f>'Seznam OM'!N8</f>
        <v>0</v>
      </c>
      <c r="AC5" s="80">
        <v>53</v>
      </c>
      <c r="AD5" s="73">
        <v>36</v>
      </c>
      <c r="AE5" s="73">
        <v>35</v>
      </c>
      <c r="AF5" s="73">
        <v>19</v>
      </c>
      <c r="AG5" s="73">
        <v>14</v>
      </c>
      <c r="AH5" s="73">
        <v>3</v>
      </c>
      <c r="AI5" s="73">
        <v>3</v>
      </c>
      <c r="AJ5" s="73">
        <v>3</v>
      </c>
      <c r="AK5" s="73">
        <v>4</v>
      </c>
      <c r="AL5" s="73">
        <v>25</v>
      </c>
      <c r="AM5" s="73">
        <v>36</v>
      </c>
      <c r="AN5" s="73">
        <v>48</v>
      </c>
      <c r="AO5" s="81">
        <v>280</v>
      </c>
      <c r="AP5" s="80">
        <v>53</v>
      </c>
      <c r="AQ5" s="73">
        <v>47</v>
      </c>
      <c r="AR5" s="73">
        <v>44</v>
      </c>
      <c r="AS5" s="73">
        <v>30</v>
      </c>
      <c r="AT5" s="73">
        <v>19</v>
      </c>
      <c r="AU5" s="73">
        <v>4</v>
      </c>
      <c r="AV5" s="73">
        <v>4</v>
      </c>
      <c r="AW5" s="73">
        <v>4</v>
      </c>
      <c r="AX5" s="73">
        <v>7</v>
      </c>
      <c r="AY5" s="73">
        <v>28</v>
      </c>
      <c r="AZ5" s="73">
        <v>35</v>
      </c>
      <c r="BA5" s="73">
        <v>45</v>
      </c>
      <c r="BB5" s="79">
        <f aca="true" t="shared" si="0" ref="BB5:BB68">(SUM(AP5:BA5)+SUM(AC5:AN5))/2</f>
        <v>299.5</v>
      </c>
      <c r="BC5" s="80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9"/>
    </row>
    <row r="6" spans="1:67" ht="15">
      <c r="A6" s="106" t="s">
        <v>25</v>
      </c>
      <c r="B6" s="98" t="s">
        <v>26</v>
      </c>
      <c r="C6" s="8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9">
        <f>'Seznam OM'!M9</f>
        <v>0</v>
      </c>
      <c r="P6" s="80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9">
        <f>'Seznam OM'!N9</f>
        <v>0</v>
      </c>
      <c r="AC6" s="80">
        <v>166</v>
      </c>
      <c r="AD6" s="73">
        <v>125</v>
      </c>
      <c r="AE6" s="73">
        <v>92</v>
      </c>
      <c r="AF6" s="73">
        <v>39</v>
      </c>
      <c r="AG6" s="73">
        <v>25</v>
      </c>
      <c r="AH6" s="73">
        <v>14</v>
      </c>
      <c r="AI6" s="73">
        <v>4</v>
      </c>
      <c r="AJ6" s="73">
        <v>11</v>
      </c>
      <c r="AK6" s="73">
        <v>55</v>
      </c>
      <c r="AL6" s="73">
        <v>68</v>
      </c>
      <c r="AM6" s="73">
        <v>69</v>
      </c>
      <c r="AN6" s="73">
        <v>134</v>
      </c>
      <c r="AO6" s="81">
        <v>802</v>
      </c>
      <c r="AP6" s="80">
        <v>91</v>
      </c>
      <c r="AQ6" s="73">
        <v>79</v>
      </c>
      <c r="AR6" s="73">
        <v>76</v>
      </c>
      <c r="AS6" s="73">
        <v>44</v>
      </c>
      <c r="AT6" s="73">
        <v>27</v>
      </c>
      <c r="AU6" s="73">
        <v>23</v>
      </c>
      <c r="AV6" s="73">
        <v>5</v>
      </c>
      <c r="AW6" s="73">
        <v>28</v>
      </c>
      <c r="AX6" s="73">
        <v>67</v>
      </c>
      <c r="AY6" s="73">
        <v>106</v>
      </c>
      <c r="AZ6" s="73">
        <v>129</v>
      </c>
      <c r="BA6" s="73">
        <v>164</v>
      </c>
      <c r="BB6" s="79">
        <f t="shared" si="0"/>
        <v>820.5</v>
      </c>
      <c r="BC6" s="80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9"/>
    </row>
    <row r="7" spans="1:67" ht="15">
      <c r="A7" s="105" t="s">
        <v>28</v>
      </c>
      <c r="B7" s="98" t="s">
        <v>29</v>
      </c>
      <c r="C7" s="80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9">
        <f>'Seznam OM'!M10</f>
        <v>307.94</v>
      </c>
      <c r="P7" s="80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9">
        <f>'Seznam OM'!N10</f>
        <v>252.61</v>
      </c>
      <c r="AC7" s="80">
        <v>156</v>
      </c>
      <c r="AD7" s="73">
        <v>140</v>
      </c>
      <c r="AE7" s="73">
        <v>123</v>
      </c>
      <c r="AF7" s="73">
        <v>66</v>
      </c>
      <c r="AG7" s="73">
        <v>59</v>
      </c>
      <c r="AH7" s="73">
        <v>60</v>
      </c>
      <c r="AI7" s="73">
        <v>62</v>
      </c>
      <c r="AJ7" s="73">
        <v>90</v>
      </c>
      <c r="AK7" s="73">
        <v>94</v>
      </c>
      <c r="AL7" s="73">
        <v>110</v>
      </c>
      <c r="AM7" s="73">
        <v>118</v>
      </c>
      <c r="AN7" s="73">
        <v>145</v>
      </c>
      <c r="AO7" s="81">
        <v>1224</v>
      </c>
      <c r="AP7" s="80">
        <v>165</v>
      </c>
      <c r="AQ7" s="73">
        <v>146</v>
      </c>
      <c r="AR7" s="73">
        <v>136</v>
      </c>
      <c r="AS7" s="73">
        <v>109</v>
      </c>
      <c r="AT7" s="73">
        <v>92</v>
      </c>
      <c r="AU7" s="73">
        <v>60</v>
      </c>
      <c r="AV7" s="73">
        <v>56</v>
      </c>
      <c r="AW7" s="73">
        <v>59</v>
      </c>
      <c r="AX7" s="73">
        <v>68</v>
      </c>
      <c r="AY7" s="73">
        <v>110</v>
      </c>
      <c r="AZ7" s="73">
        <v>119</v>
      </c>
      <c r="BA7" s="73">
        <v>140</v>
      </c>
      <c r="BB7" s="79">
        <f t="shared" si="0"/>
        <v>1241.5</v>
      </c>
      <c r="BC7" s="80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9"/>
    </row>
    <row r="8" spans="1:67" ht="15">
      <c r="A8" s="109" t="s">
        <v>31</v>
      </c>
      <c r="B8" s="86" t="s">
        <v>32</v>
      </c>
      <c r="C8" s="80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9">
        <f>'Seznam OM'!M11</f>
        <v>0</v>
      </c>
      <c r="P8" s="80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9">
        <f>'Seznam OM'!N11</f>
        <v>0</v>
      </c>
      <c r="AC8" s="80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81"/>
      <c r="AP8" s="80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9">
        <f t="shared" si="0"/>
        <v>0</v>
      </c>
      <c r="BC8" s="80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9"/>
    </row>
    <row r="9" spans="1:67" ht="15">
      <c r="A9" s="105" t="s">
        <v>34</v>
      </c>
      <c r="B9" s="98" t="s">
        <v>35</v>
      </c>
      <c r="C9" s="80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9">
        <f>'Seznam OM'!M12</f>
        <v>0</v>
      </c>
      <c r="P9" s="80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9">
        <f>'Seznam OM'!N12</f>
        <v>0</v>
      </c>
      <c r="AC9" s="80">
        <v>99</v>
      </c>
      <c r="AD9" s="73">
        <v>63</v>
      </c>
      <c r="AE9" s="73">
        <v>62</v>
      </c>
      <c r="AF9" s="73">
        <v>33</v>
      </c>
      <c r="AG9" s="73">
        <v>20</v>
      </c>
      <c r="AH9" s="73">
        <v>3</v>
      </c>
      <c r="AI9" s="73">
        <v>3</v>
      </c>
      <c r="AJ9" s="73">
        <v>3</v>
      </c>
      <c r="AK9" s="73">
        <v>4</v>
      </c>
      <c r="AL9" s="73">
        <v>37</v>
      </c>
      <c r="AM9" s="73">
        <v>52</v>
      </c>
      <c r="AN9" s="73">
        <v>63</v>
      </c>
      <c r="AO9" s="81">
        <v>442</v>
      </c>
      <c r="AP9" s="80">
        <v>93</v>
      </c>
      <c r="AQ9" s="73">
        <v>75</v>
      </c>
      <c r="AR9" s="73">
        <v>72</v>
      </c>
      <c r="AS9" s="73">
        <v>46</v>
      </c>
      <c r="AT9" s="73">
        <v>23</v>
      </c>
      <c r="AU9" s="73">
        <v>3</v>
      </c>
      <c r="AV9" s="73">
        <v>3</v>
      </c>
      <c r="AW9" s="73">
        <v>3</v>
      </c>
      <c r="AX9" s="73">
        <v>7</v>
      </c>
      <c r="AY9" s="73">
        <v>44</v>
      </c>
      <c r="AZ9" s="73">
        <v>61</v>
      </c>
      <c r="BA9" s="73">
        <v>71</v>
      </c>
      <c r="BB9" s="79">
        <f t="shared" si="0"/>
        <v>471.5</v>
      </c>
      <c r="BC9" s="80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9"/>
    </row>
    <row r="10" spans="1:67" ht="48">
      <c r="A10" s="89" t="s">
        <v>37</v>
      </c>
      <c r="B10" s="85" t="s">
        <v>38</v>
      </c>
      <c r="C10" s="80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9">
        <f>'Seznam OM'!M13</f>
        <v>0</v>
      </c>
      <c r="P10" s="80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9">
        <f>'Seznam OM'!N13</f>
        <v>0</v>
      </c>
      <c r="AC10" s="80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81"/>
      <c r="AP10" s="80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9">
        <f t="shared" si="0"/>
        <v>0</v>
      </c>
      <c r="BC10" s="80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9"/>
    </row>
    <row r="11" spans="1:67" ht="15">
      <c r="A11" s="74" t="s">
        <v>40</v>
      </c>
      <c r="B11" s="85" t="s">
        <v>41</v>
      </c>
      <c r="C11" s="80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9">
        <f>'Seznam OM'!M14</f>
        <v>4.07</v>
      </c>
      <c r="P11" s="80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9">
        <f>'Seznam OM'!N14</f>
        <v>4.591</v>
      </c>
      <c r="AC11" s="80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81">
        <f>'Seznam OM'!O14</f>
        <v>3.844</v>
      </c>
      <c r="AP11" s="80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9">
        <f t="shared" si="0"/>
        <v>0</v>
      </c>
      <c r="BC11" s="80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9"/>
    </row>
    <row r="12" spans="1:67" ht="15">
      <c r="A12" s="105" t="s">
        <v>44</v>
      </c>
      <c r="B12" s="98" t="s">
        <v>45</v>
      </c>
      <c r="C12" s="80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9">
        <f>'Seznam OM'!M15</f>
        <v>0</v>
      </c>
      <c r="P12" s="80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9">
        <f>'Seznam OM'!N15</f>
        <v>0</v>
      </c>
      <c r="AC12" s="80">
        <v>27</v>
      </c>
      <c r="AD12" s="73">
        <v>19</v>
      </c>
      <c r="AE12" s="73">
        <v>21</v>
      </c>
      <c r="AF12" s="73">
        <v>15</v>
      </c>
      <c r="AG12" s="73">
        <v>11</v>
      </c>
      <c r="AH12" s="73">
        <v>0</v>
      </c>
      <c r="AI12" s="73">
        <v>0</v>
      </c>
      <c r="AJ12" s="73">
        <v>0</v>
      </c>
      <c r="AK12" s="73">
        <v>1</v>
      </c>
      <c r="AL12" s="73">
        <v>13</v>
      </c>
      <c r="AM12" s="73">
        <v>20</v>
      </c>
      <c r="AN12" s="73">
        <v>23</v>
      </c>
      <c r="AO12" s="81">
        <v>148</v>
      </c>
      <c r="AP12" s="80">
        <v>28</v>
      </c>
      <c r="AQ12" s="73">
        <v>22</v>
      </c>
      <c r="AR12" s="73">
        <v>22</v>
      </c>
      <c r="AS12" s="73">
        <v>17</v>
      </c>
      <c r="AT12" s="73">
        <v>10</v>
      </c>
      <c r="AU12" s="73">
        <v>1</v>
      </c>
      <c r="AV12" s="73">
        <v>0</v>
      </c>
      <c r="AW12" s="73">
        <v>0</v>
      </c>
      <c r="AX12" s="73">
        <v>3</v>
      </c>
      <c r="AY12" s="73">
        <v>14</v>
      </c>
      <c r="AZ12" s="73">
        <v>21</v>
      </c>
      <c r="BA12" s="73">
        <v>26</v>
      </c>
      <c r="BB12" s="79">
        <f t="shared" si="0"/>
        <v>157</v>
      </c>
      <c r="BC12" s="80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9"/>
    </row>
    <row r="13" spans="1:67" ht="15">
      <c r="A13" s="74" t="s">
        <v>47</v>
      </c>
      <c r="B13" s="85" t="s">
        <v>48</v>
      </c>
      <c r="C13" s="80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9">
        <f>'Seznam OM'!M16</f>
        <v>0</v>
      </c>
      <c r="P13" s="80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9">
        <f>'Seznam OM'!N16</f>
        <v>0</v>
      </c>
      <c r="AC13" s="80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81"/>
      <c r="AP13" s="80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9">
        <f t="shared" si="0"/>
        <v>0</v>
      </c>
      <c r="BC13" s="80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9"/>
    </row>
    <row r="14" spans="1:67" ht="15">
      <c r="A14" s="105" t="s">
        <v>50</v>
      </c>
      <c r="B14" s="98" t="s">
        <v>51</v>
      </c>
      <c r="C14" s="80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9">
        <f>'Seznam OM'!M17</f>
        <v>28.26</v>
      </c>
      <c r="P14" s="80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9">
        <f>'Seznam OM'!N17</f>
        <v>27.113</v>
      </c>
      <c r="AC14" s="80">
        <v>75</v>
      </c>
      <c r="AD14" s="73">
        <v>47</v>
      </c>
      <c r="AE14" s="73">
        <v>41</v>
      </c>
      <c r="AF14" s="73">
        <v>17</v>
      </c>
      <c r="AG14" s="73">
        <v>11</v>
      </c>
      <c r="AH14" s="73">
        <v>2</v>
      </c>
      <c r="AI14" s="73">
        <v>1</v>
      </c>
      <c r="AJ14" s="73">
        <v>2</v>
      </c>
      <c r="AK14" s="73">
        <v>3</v>
      </c>
      <c r="AL14" s="73">
        <v>30</v>
      </c>
      <c r="AM14" s="73">
        <v>48</v>
      </c>
      <c r="AN14" s="73">
        <v>60</v>
      </c>
      <c r="AO14" s="156">
        <v>337</v>
      </c>
      <c r="AP14" s="80">
        <v>59</v>
      </c>
      <c r="AQ14" s="73">
        <v>51</v>
      </c>
      <c r="AR14" s="73">
        <v>45</v>
      </c>
      <c r="AS14" s="73">
        <v>31</v>
      </c>
      <c r="AT14" s="73">
        <v>16</v>
      </c>
      <c r="AU14" s="73">
        <v>1</v>
      </c>
      <c r="AV14" s="73">
        <v>2</v>
      </c>
      <c r="AW14" s="73">
        <v>3</v>
      </c>
      <c r="AX14" s="73">
        <v>7</v>
      </c>
      <c r="AY14" s="73">
        <v>30</v>
      </c>
      <c r="AZ14" s="73">
        <v>46</v>
      </c>
      <c r="BA14" s="73">
        <v>55</v>
      </c>
      <c r="BB14" s="79">
        <f t="shared" si="0"/>
        <v>341.5</v>
      </c>
      <c r="BC14" s="80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9"/>
    </row>
    <row r="15" spans="1:67" ht="15">
      <c r="A15" s="107" t="s">
        <v>53</v>
      </c>
      <c r="B15" s="98" t="s">
        <v>54</v>
      </c>
      <c r="C15" s="80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9">
        <f>'Seznam OM'!M18</f>
        <v>0.965</v>
      </c>
      <c r="P15" s="80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9">
        <f>'Seznam OM'!N18</f>
        <v>0.836</v>
      </c>
      <c r="AC15" s="80">
        <v>31</v>
      </c>
      <c r="AD15" s="73">
        <v>21</v>
      </c>
      <c r="AE15" s="73">
        <v>20</v>
      </c>
      <c r="AF15" s="73">
        <v>11</v>
      </c>
      <c r="AG15" s="73">
        <v>9</v>
      </c>
      <c r="AH15" s="73">
        <v>6</v>
      </c>
      <c r="AI15" s="73">
        <v>4</v>
      </c>
      <c r="AJ15" s="73">
        <v>5</v>
      </c>
      <c r="AK15" s="73">
        <v>6</v>
      </c>
      <c r="AL15" s="73">
        <v>12</v>
      </c>
      <c r="AM15" s="73">
        <v>17</v>
      </c>
      <c r="AN15" s="73">
        <v>20</v>
      </c>
      <c r="AO15" s="81">
        <v>161</v>
      </c>
      <c r="AP15" s="80">
        <v>25</v>
      </c>
      <c r="AQ15" s="73">
        <v>25</v>
      </c>
      <c r="AR15" s="73">
        <v>19</v>
      </c>
      <c r="AS15" s="73">
        <v>16</v>
      </c>
      <c r="AT15" s="73">
        <v>11</v>
      </c>
      <c r="AU15" s="73">
        <v>5</v>
      </c>
      <c r="AV15" s="73">
        <v>4</v>
      </c>
      <c r="AW15" s="73">
        <v>4</v>
      </c>
      <c r="AX15" s="73">
        <v>7</v>
      </c>
      <c r="AY15" s="73">
        <v>13</v>
      </c>
      <c r="AZ15" s="73">
        <v>17</v>
      </c>
      <c r="BA15" s="73">
        <v>20</v>
      </c>
      <c r="BB15" s="79">
        <f t="shared" si="0"/>
        <v>164</v>
      </c>
      <c r="BC15" s="80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9"/>
    </row>
    <row r="16" spans="1:67" ht="15">
      <c r="A16" s="108" t="s">
        <v>56</v>
      </c>
      <c r="B16" s="99" t="s">
        <v>57</v>
      </c>
      <c r="C16" s="80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9">
        <f>'Seznam OM'!M19</f>
        <v>0</v>
      </c>
      <c r="P16" s="80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9">
        <f>'Seznam OM'!N19</f>
        <v>0</v>
      </c>
      <c r="AC16" s="80">
        <v>27</v>
      </c>
      <c r="AD16" s="73">
        <v>19</v>
      </c>
      <c r="AE16" s="73">
        <v>21</v>
      </c>
      <c r="AF16" s="73">
        <v>8</v>
      </c>
      <c r="AG16" s="73">
        <v>2</v>
      </c>
      <c r="AH16" s="73">
        <v>0</v>
      </c>
      <c r="AI16" s="73">
        <v>0</v>
      </c>
      <c r="AJ16" s="73">
        <v>0</v>
      </c>
      <c r="AK16" s="73">
        <v>1</v>
      </c>
      <c r="AL16" s="73">
        <v>14</v>
      </c>
      <c r="AM16" s="73">
        <v>22</v>
      </c>
      <c r="AN16" s="73">
        <v>25</v>
      </c>
      <c r="AO16" s="81">
        <v>138</v>
      </c>
      <c r="AP16" s="80">
        <v>27</v>
      </c>
      <c r="AQ16" s="73">
        <v>24</v>
      </c>
      <c r="AR16" s="73">
        <v>23</v>
      </c>
      <c r="AS16" s="73">
        <v>18</v>
      </c>
      <c r="AT16" s="73">
        <v>9</v>
      </c>
      <c r="AU16" s="73">
        <v>2</v>
      </c>
      <c r="AV16" s="73">
        <v>0</v>
      </c>
      <c r="AW16" s="73">
        <v>0</v>
      </c>
      <c r="AX16" s="73">
        <v>1</v>
      </c>
      <c r="AY16" s="73">
        <v>12</v>
      </c>
      <c r="AZ16" s="73">
        <v>17</v>
      </c>
      <c r="BA16" s="73">
        <v>17</v>
      </c>
      <c r="BB16" s="79">
        <f t="shared" si="0"/>
        <v>144.5</v>
      </c>
      <c r="BC16" s="80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9"/>
    </row>
    <row r="17" spans="1:67" ht="15">
      <c r="A17" s="105" t="s">
        <v>59</v>
      </c>
      <c r="B17" s="98" t="s">
        <v>60</v>
      </c>
      <c r="C17" s="80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9">
        <f>'Seznam OM'!M20</f>
        <v>0</v>
      </c>
      <c r="P17" s="80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9">
        <f>'Seznam OM'!N20</f>
        <v>0</v>
      </c>
      <c r="AC17" s="80">
        <v>26</v>
      </c>
      <c r="AD17" s="73">
        <v>19</v>
      </c>
      <c r="AE17" s="73">
        <v>18</v>
      </c>
      <c r="AF17" s="73">
        <v>11</v>
      </c>
      <c r="AG17" s="73">
        <v>9</v>
      </c>
      <c r="AH17" s="73">
        <v>4</v>
      </c>
      <c r="AI17" s="73">
        <v>3</v>
      </c>
      <c r="AJ17" s="73">
        <v>4</v>
      </c>
      <c r="AK17" s="73">
        <v>4</v>
      </c>
      <c r="AL17" s="73">
        <v>12</v>
      </c>
      <c r="AM17" s="73">
        <v>18</v>
      </c>
      <c r="AN17" s="73">
        <v>21</v>
      </c>
      <c r="AO17" s="81">
        <v>148</v>
      </c>
      <c r="AP17" s="80">
        <v>24</v>
      </c>
      <c r="AQ17" s="73">
        <v>22</v>
      </c>
      <c r="AR17" s="73">
        <v>19</v>
      </c>
      <c r="AS17" s="73">
        <v>14</v>
      </c>
      <c r="AT17" s="73">
        <v>8</v>
      </c>
      <c r="AU17" s="73">
        <v>3</v>
      </c>
      <c r="AV17" s="73">
        <v>3</v>
      </c>
      <c r="AW17" s="73">
        <v>3</v>
      </c>
      <c r="AX17" s="73">
        <v>5</v>
      </c>
      <c r="AY17" s="73">
        <v>15</v>
      </c>
      <c r="AZ17" s="73">
        <v>22</v>
      </c>
      <c r="BA17" s="73">
        <v>27</v>
      </c>
      <c r="BB17" s="79">
        <f t="shared" si="0"/>
        <v>157</v>
      </c>
      <c r="BC17" s="80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9"/>
    </row>
    <row r="18" spans="1:67" ht="15">
      <c r="A18" s="74" t="s">
        <v>62</v>
      </c>
      <c r="B18" s="85" t="s">
        <v>63</v>
      </c>
      <c r="C18" s="80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9">
        <f>'Seznam OM'!M21</f>
        <v>0</v>
      </c>
      <c r="P18" s="80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9">
        <f>'Seznam OM'!N21</f>
        <v>0</v>
      </c>
      <c r="AC18" s="80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81"/>
      <c r="AP18" s="80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9">
        <f t="shared" si="0"/>
        <v>0</v>
      </c>
      <c r="BC18" s="80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9"/>
    </row>
    <row r="19" spans="1:67" ht="15">
      <c r="A19" s="74" t="s">
        <v>65</v>
      </c>
      <c r="B19" s="85" t="s">
        <v>66</v>
      </c>
      <c r="C19" s="80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9">
        <f>'Seznam OM'!M22</f>
        <v>0</v>
      </c>
      <c r="P19" s="80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9">
        <f>'Seznam OM'!N22</f>
        <v>0</v>
      </c>
      <c r="AC19" s="80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81"/>
      <c r="AP19" s="80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9">
        <f t="shared" si="0"/>
        <v>0</v>
      </c>
      <c r="BC19" s="80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9"/>
    </row>
    <row r="20" spans="1:67" ht="15">
      <c r="A20" s="74" t="s">
        <v>68</v>
      </c>
      <c r="B20" s="85" t="s">
        <v>69</v>
      </c>
      <c r="C20" s="80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9">
        <f>'Seznam OM'!M23</f>
        <v>0</v>
      </c>
      <c r="P20" s="80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9">
        <f>'Seznam OM'!N23</f>
        <v>0</v>
      </c>
      <c r="AC20" s="80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81"/>
      <c r="AP20" s="80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9">
        <f t="shared" si="0"/>
        <v>0</v>
      </c>
      <c r="BC20" s="80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9"/>
    </row>
    <row r="21" spans="1:67" ht="15">
      <c r="A21" s="74" t="s">
        <v>47</v>
      </c>
      <c r="B21" s="85" t="s">
        <v>71</v>
      </c>
      <c r="C21" s="80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9">
        <f>'Seznam OM'!M24</f>
        <v>0</v>
      </c>
      <c r="P21" s="80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9">
        <f>'Seznam OM'!N24</f>
        <v>0</v>
      </c>
      <c r="AC21" s="80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81"/>
      <c r="AP21" s="80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9">
        <f t="shared" si="0"/>
        <v>0</v>
      </c>
      <c r="BC21" s="80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9"/>
    </row>
    <row r="22" spans="1:67" ht="15">
      <c r="A22" s="74" t="s">
        <v>68</v>
      </c>
      <c r="B22" s="85" t="s">
        <v>73</v>
      </c>
      <c r="C22" s="80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9">
        <f>'Seznam OM'!M25</f>
        <v>61.623</v>
      </c>
      <c r="P22" s="80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9">
        <f>'Seznam OM'!N25</f>
        <v>41.073</v>
      </c>
      <c r="AC22" s="80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81">
        <f>'Seznam OM'!O25</f>
        <v>26.713</v>
      </c>
      <c r="AP22" s="80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9">
        <f t="shared" si="0"/>
        <v>0</v>
      </c>
      <c r="BC22" s="80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9"/>
    </row>
    <row r="23" spans="1:67" ht="15">
      <c r="A23" s="74" t="s">
        <v>68</v>
      </c>
      <c r="B23" s="85" t="s">
        <v>75</v>
      </c>
      <c r="C23" s="80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9">
        <f>'Seznam OM'!M26</f>
        <v>4.7</v>
      </c>
      <c r="P23" s="80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9">
        <f>'Seznam OM'!N26</f>
        <v>5.199</v>
      </c>
      <c r="AC23" s="80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81">
        <f>'Seznam OM'!O26</f>
        <v>9.056</v>
      </c>
      <c r="AP23" s="80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9">
        <f t="shared" si="0"/>
        <v>0</v>
      </c>
      <c r="BC23" s="80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9"/>
    </row>
    <row r="24" spans="1:67" ht="15">
      <c r="A24" s="74" t="s">
        <v>65</v>
      </c>
      <c r="B24" s="85" t="s">
        <v>77</v>
      </c>
      <c r="C24" s="80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9">
        <f>'Seznam OM'!M27</f>
        <v>0</v>
      </c>
      <c r="P24" s="80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9">
        <f>'Seznam OM'!N27</f>
        <v>0</v>
      </c>
      <c r="AC24" s="80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81"/>
      <c r="AP24" s="80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9">
        <f t="shared" si="0"/>
        <v>0</v>
      </c>
      <c r="BC24" s="80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9"/>
    </row>
    <row r="25" spans="1:67" ht="15">
      <c r="A25" s="74" t="s">
        <v>79</v>
      </c>
      <c r="B25" s="85" t="s">
        <v>80</v>
      </c>
      <c r="C25" s="80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9">
        <f>'Seznam OM'!M28</f>
        <v>0</v>
      </c>
      <c r="P25" s="80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9">
        <f>'Seznam OM'!N28</f>
        <v>0</v>
      </c>
      <c r="AC25" s="80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81"/>
      <c r="AP25" s="80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9">
        <f t="shared" si="0"/>
        <v>0</v>
      </c>
      <c r="BC25" s="80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9"/>
    </row>
    <row r="26" spans="1:67" ht="15">
      <c r="A26" s="74" t="s">
        <v>82</v>
      </c>
      <c r="B26" s="85" t="s">
        <v>83</v>
      </c>
      <c r="C26" s="80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9">
        <f>'Seznam OM'!M29</f>
        <v>145.312</v>
      </c>
      <c r="P26" s="80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9">
        <f>'Seznam OM'!N29</f>
        <v>0</v>
      </c>
      <c r="AC26" s="80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81"/>
      <c r="AP26" s="80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9">
        <f t="shared" si="0"/>
        <v>0</v>
      </c>
      <c r="BC26" s="80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9"/>
    </row>
    <row r="27" spans="1:67" ht="15">
      <c r="A27" s="74" t="s">
        <v>85</v>
      </c>
      <c r="B27" s="85" t="s">
        <v>86</v>
      </c>
      <c r="C27" s="80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9">
        <f>'Seznam OM'!M30</f>
        <v>0</v>
      </c>
      <c r="P27" s="80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9">
        <f>'Seznam OM'!N30</f>
        <v>0</v>
      </c>
      <c r="AC27" s="80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81"/>
      <c r="AP27" s="80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9">
        <f t="shared" si="0"/>
        <v>0</v>
      </c>
      <c r="BC27" s="80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9"/>
    </row>
    <row r="28" spans="1:67" ht="15">
      <c r="A28" s="74" t="s">
        <v>47</v>
      </c>
      <c r="B28" s="85" t="s">
        <v>88</v>
      </c>
      <c r="C28" s="80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9">
        <f>'Seznam OM'!M31</f>
        <v>0</v>
      </c>
      <c r="P28" s="80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9">
        <f>'Seznam OM'!N31</f>
        <v>0</v>
      </c>
      <c r="AC28" s="80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81"/>
      <c r="AP28" s="80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9">
        <f t="shared" si="0"/>
        <v>0</v>
      </c>
      <c r="BC28" s="80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9"/>
    </row>
    <row r="29" spans="1:67" ht="15">
      <c r="A29" s="90" t="s">
        <v>53</v>
      </c>
      <c r="B29" s="85" t="s">
        <v>90</v>
      </c>
      <c r="C29" s="80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9">
        <f>'Seznam OM'!M32</f>
        <v>222.724</v>
      </c>
      <c r="P29" s="80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9">
        <f>'Seznam OM'!N32</f>
        <v>0</v>
      </c>
      <c r="AC29" s="80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81"/>
      <c r="AP29" s="80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9">
        <f t="shared" si="0"/>
        <v>0</v>
      </c>
      <c r="BC29" s="80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9"/>
    </row>
    <row r="30" spans="1:67" ht="15">
      <c r="A30" s="74" t="s">
        <v>92</v>
      </c>
      <c r="B30" s="85" t="s">
        <v>93</v>
      </c>
      <c r="C30" s="80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9">
        <f>'Seznam OM'!M33</f>
        <v>0</v>
      </c>
      <c r="P30" s="80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9">
        <f>'Seznam OM'!N33</f>
        <v>0</v>
      </c>
      <c r="AC30" s="80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81"/>
      <c r="AP30" s="80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9">
        <f t="shared" si="0"/>
        <v>0</v>
      </c>
      <c r="BC30" s="80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9"/>
    </row>
    <row r="31" spans="1:67" ht="15">
      <c r="A31" s="74" t="s">
        <v>95</v>
      </c>
      <c r="B31" s="85" t="s">
        <v>96</v>
      </c>
      <c r="C31" s="80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9">
        <f>'Seznam OM'!M34</f>
        <v>0</v>
      </c>
      <c r="P31" s="80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9">
        <f>'Seznam OM'!N34</f>
        <v>0</v>
      </c>
      <c r="AC31" s="80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81"/>
      <c r="AP31" s="80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9">
        <f t="shared" si="0"/>
        <v>0</v>
      </c>
      <c r="BC31" s="80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9"/>
    </row>
    <row r="32" spans="1:67" ht="15">
      <c r="A32" s="90" t="s">
        <v>53</v>
      </c>
      <c r="B32" s="85" t="s">
        <v>98</v>
      </c>
      <c r="C32" s="80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9">
        <f>'Seznam OM'!M35</f>
        <v>258.736</v>
      </c>
      <c r="P32" s="80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9">
        <f>'Seznam OM'!N35</f>
        <v>0</v>
      </c>
      <c r="AC32" s="80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81"/>
      <c r="AP32" s="80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9">
        <f t="shared" si="0"/>
        <v>0</v>
      </c>
      <c r="BC32" s="80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9"/>
    </row>
    <row r="33" spans="1:67" ht="15">
      <c r="A33" s="74" t="s">
        <v>65</v>
      </c>
      <c r="B33" s="85" t="s">
        <v>100</v>
      </c>
      <c r="C33" s="80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9">
        <f>'Seznam OM'!M36</f>
        <v>0</v>
      </c>
      <c r="P33" s="80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9">
        <f>'Seznam OM'!N36</f>
        <v>0</v>
      </c>
      <c r="AC33" s="80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81"/>
      <c r="AP33" s="80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9">
        <f t="shared" si="0"/>
        <v>0</v>
      </c>
      <c r="BC33" s="80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9"/>
    </row>
    <row r="34" spans="1:67" ht="15">
      <c r="A34" s="105" t="s">
        <v>102</v>
      </c>
      <c r="B34" s="98" t="s">
        <v>103</v>
      </c>
      <c r="C34" s="80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9">
        <f>'Seznam OM'!M37</f>
        <v>0</v>
      </c>
      <c r="P34" s="80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9">
        <f>'Seznam OM'!N37</f>
        <v>0</v>
      </c>
      <c r="AC34" s="80">
        <v>77</v>
      </c>
      <c r="AD34" s="73">
        <v>53</v>
      </c>
      <c r="AE34" s="73">
        <v>54</v>
      </c>
      <c r="AF34" s="73">
        <v>31</v>
      </c>
      <c r="AG34" s="73">
        <v>28</v>
      </c>
      <c r="AH34" s="73">
        <v>14</v>
      </c>
      <c r="AI34" s="73">
        <v>13</v>
      </c>
      <c r="AJ34" s="73">
        <v>18</v>
      </c>
      <c r="AK34" s="73">
        <v>39</v>
      </c>
      <c r="AL34" s="73">
        <v>62</v>
      </c>
      <c r="AM34" s="73">
        <v>75</v>
      </c>
      <c r="AN34" s="73">
        <v>31</v>
      </c>
      <c r="AO34" s="81">
        <v>479</v>
      </c>
      <c r="AP34" s="80">
        <v>77</v>
      </c>
      <c r="AQ34" s="73">
        <v>69</v>
      </c>
      <c r="AR34" s="73">
        <v>64</v>
      </c>
      <c r="AS34" s="73">
        <v>47</v>
      </c>
      <c r="AT34" s="73">
        <v>28</v>
      </c>
      <c r="AU34" s="73">
        <v>13</v>
      </c>
      <c r="AV34" s="73">
        <v>13</v>
      </c>
      <c r="AW34" s="73">
        <v>13</v>
      </c>
      <c r="AX34" s="73">
        <v>17</v>
      </c>
      <c r="AY34" s="73">
        <v>41</v>
      </c>
      <c r="AZ34" s="73">
        <v>60</v>
      </c>
      <c r="BA34" s="73">
        <v>75</v>
      </c>
      <c r="BB34" s="79">
        <f t="shared" si="0"/>
        <v>506</v>
      </c>
      <c r="BC34" s="80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9"/>
    </row>
    <row r="35" spans="1:67" ht="15">
      <c r="A35" s="74" t="s">
        <v>105</v>
      </c>
      <c r="B35" s="85" t="s">
        <v>106</v>
      </c>
      <c r="C35" s="80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9">
        <f>'Seznam OM'!M38</f>
        <v>0</v>
      </c>
      <c r="P35" s="80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9">
        <f>'Seznam OM'!N38</f>
        <v>0</v>
      </c>
      <c r="AC35" s="80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81"/>
      <c r="AP35" s="80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9">
        <f t="shared" si="0"/>
        <v>0</v>
      </c>
      <c r="BC35" s="80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9"/>
    </row>
    <row r="36" spans="1:67" ht="15">
      <c r="A36" s="74" t="s">
        <v>108</v>
      </c>
      <c r="B36" s="85" t="s">
        <v>109</v>
      </c>
      <c r="C36" s="80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9">
        <f>'Seznam OM'!M39</f>
        <v>0</v>
      </c>
      <c r="P36" s="80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9">
        <f>'Seznam OM'!N39</f>
        <v>0</v>
      </c>
      <c r="AC36" s="80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81"/>
      <c r="AP36" s="80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9">
        <f t="shared" si="0"/>
        <v>0</v>
      </c>
      <c r="BC36" s="80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9"/>
    </row>
    <row r="37" spans="1:67" ht="15">
      <c r="A37" s="74" t="s">
        <v>111</v>
      </c>
      <c r="B37" s="85" t="s">
        <v>112</v>
      </c>
      <c r="C37" s="80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9">
        <f>'Seznam OM'!M40</f>
        <v>0</v>
      </c>
      <c r="P37" s="80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9">
        <f>'Seznam OM'!N40</f>
        <v>3.534</v>
      </c>
      <c r="AC37" s="80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81"/>
      <c r="AP37" s="80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9">
        <f t="shared" si="0"/>
        <v>0</v>
      </c>
      <c r="BC37" s="80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9"/>
    </row>
    <row r="38" spans="1:67" ht="15">
      <c r="A38" s="74" t="s">
        <v>108</v>
      </c>
      <c r="B38" s="85" t="s">
        <v>114</v>
      </c>
      <c r="C38" s="80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9">
        <f>'Seznam OM'!M41</f>
        <v>0</v>
      </c>
      <c r="P38" s="80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9">
        <f>'Seznam OM'!N41</f>
        <v>0</v>
      </c>
      <c r="AC38" s="80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81"/>
      <c r="AP38" s="80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9">
        <f t="shared" si="0"/>
        <v>0</v>
      </c>
      <c r="BC38" s="80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9"/>
    </row>
    <row r="39" spans="1:67" ht="15">
      <c r="A39" s="74" t="s">
        <v>108</v>
      </c>
      <c r="B39" s="85" t="s">
        <v>116</v>
      </c>
      <c r="C39" s="80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9">
        <f>'Seznam OM'!M42</f>
        <v>0</v>
      </c>
      <c r="P39" s="80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9">
        <f>'Seznam OM'!N42</f>
        <v>0</v>
      </c>
      <c r="AC39" s="80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81"/>
      <c r="AP39" s="80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9">
        <f t="shared" si="0"/>
        <v>0</v>
      </c>
      <c r="BC39" s="80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9"/>
    </row>
    <row r="40" spans="1:67" ht="15">
      <c r="A40" s="74" t="s">
        <v>68</v>
      </c>
      <c r="B40" s="85" t="s">
        <v>118</v>
      </c>
      <c r="C40" s="80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9">
        <f>'Seznam OM'!M43</f>
        <v>0</v>
      </c>
      <c r="P40" s="80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9">
        <f>'Seznam OM'!N43</f>
        <v>0</v>
      </c>
      <c r="AC40" s="80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81"/>
      <c r="AP40" s="80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9">
        <f t="shared" si="0"/>
        <v>0</v>
      </c>
      <c r="BC40" s="80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9"/>
    </row>
    <row r="41" spans="1:67" ht="15">
      <c r="A41" s="105" t="s">
        <v>120</v>
      </c>
      <c r="B41" s="98" t="s">
        <v>121</v>
      </c>
      <c r="C41" s="80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9">
        <f>'Seznam OM'!M44</f>
        <v>0</v>
      </c>
      <c r="P41" s="80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9">
        <f>'Seznam OM'!N44</f>
        <v>0</v>
      </c>
      <c r="AC41" s="80">
        <v>42</v>
      </c>
      <c r="AD41" s="73">
        <v>25</v>
      </c>
      <c r="AE41" s="73">
        <v>26</v>
      </c>
      <c r="AF41" s="73">
        <v>12</v>
      </c>
      <c r="AG41" s="73">
        <v>5</v>
      </c>
      <c r="AH41" s="73">
        <v>0</v>
      </c>
      <c r="AI41" s="73">
        <v>0</v>
      </c>
      <c r="AJ41" s="73">
        <v>0</v>
      </c>
      <c r="AK41" s="73">
        <v>1</v>
      </c>
      <c r="AL41" s="73">
        <v>20</v>
      </c>
      <c r="AM41" s="73">
        <v>28</v>
      </c>
      <c r="AN41" s="73">
        <v>36</v>
      </c>
      <c r="AO41" s="81">
        <v>194</v>
      </c>
      <c r="AP41" s="80">
        <v>41</v>
      </c>
      <c r="AQ41" s="73">
        <v>37</v>
      </c>
      <c r="AR41" s="73">
        <v>33</v>
      </c>
      <c r="AS41" s="73">
        <v>21</v>
      </c>
      <c r="AT41" s="73">
        <v>10</v>
      </c>
      <c r="AU41" s="73">
        <v>1</v>
      </c>
      <c r="AV41" s="73">
        <v>0</v>
      </c>
      <c r="AW41" s="73">
        <v>0</v>
      </c>
      <c r="AX41" s="73">
        <v>6</v>
      </c>
      <c r="AY41" s="73">
        <v>19</v>
      </c>
      <c r="AZ41" s="73">
        <v>31</v>
      </c>
      <c r="BA41" s="73">
        <v>39</v>
      </c>
      <c r="BB41" s="79">
        <f t="shared" si="0"/>
        <v>216.5</v>
      </c>
      <c r="BC41" s="80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9"/>
    </row>
    <row r="42" spans="1:67" ht="15">
      <c r="A42" s="74" t="s">
        <v>108</v>
      </c>
      <c r="B42" s="85" t="s">
        <v>123</v>
      </c>
      <c r="C42" s="80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9">
        <f>'Seznam OM'!M45</f>
        <v>0</v>
      </c>
      <c r="P42" s="80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9">
        <f>'Seznam OM'!N45</f>
        <v>0</v>
      </c>
      <c r="AC42" s="80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81"/>
      <c r="AP42" s="80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9">
        <f t="shared" si="0"/>
        <v>0</v>
      </c>
      <c r="BC42" s="80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9"/>
    </row>
    <row r="43" spans="1:67" ht="15">
      <c r="A43" s="105" t="s">
        <v>108</v>
      </c>
      <c r="B43" s="98" t="s">
        <v>125</v>
      </c>
      <c r="C43" s="80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9">
        <f>'Seznam OM'!M46</f>
        <v>0</v>
      </c>
      <c r="P43" s="80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9">
        <f>'Seznam OM'!N46</f>
        <v>0</v>
      </c>
      <c r="AC43" s="80">
        <v>19</v>
      </c>
      <c r="AD43" s="73">
        <v>13</v>
      </c>
      <c r="AE43" s="73">
        <v>11</v>
      </c>
      <c r="AF43" s="73">
        <v>6</v>
      </c>
      <c r="AG43" s="73">
        <v>4</v>
      </c>
      <c r="AH43" s="73">
        <v>0</v>
      </c>
      <c r="AI43" s="73">
        <v>0</v>
      </c>
      <c r="AJ43" s="73">
        <v>0</v>
      </c>
      <c r="AK43" s="73">
        <v>1</v>
      </c>
      <c r="AL43" s="73">
        <v>7</v>
      </c>
      <c r="AM43" s="73">
        <v>12</v>
      </c>
      <c r="AN43" s="73">
        <v>15</v>
      </c>
      <c r="AO43" s="81">
        <v>87</v>
      </c>
      <c r="AP43" s="80">
        <v>17</v>
      </c>
      <c r="AQ43" s="73">
        <v>16</v>
      </c>
      <c r="AR43" s="73">
        <v>14</v>
      </c>
      <c r="AS43" s="73">
        <v>9</v>
      </c>
      <c r="AT43" s="73">
        <v>4</v>
      </c>
      <c r="AU43" s="73">
        <v>1</v>
      </c>
      <c r="AV43" s="73">
        <v>0</v>
      </c>
      <c r="AW43" s="73">
        <v>0</v>
      </c>
      <c r="AX43" s="73">
        <v>1</v>
      </c>
      <c r="AY43" s="73">
        <v>8</v>
      </c>
      <c r="AZ43" s="73">
        <v>12</v>
      </c>
      <c r="BA43" s="73">
        <v>17</v>
      </c>
      <c r="BB43" s="79">
        <f t="shared" si="0"/>
        <v>93.5</v>
      </c>
      <c r="BC43" s="80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9"/>
    </row>
    <row r="44" spans="1:67" ht="15">
      <c r="A44" s="74" t="s">
        <v>108</v>
      </c>
      <c r="B44" s="85" t="s">
        <v>127</v>
      </c>
      <c r="C44" s="80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9">
        <f>'Seznam OM'!M47</f>
        <v>0</v>
      </c>
      <c r="P44" s="80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9">
        <f>'Seznam OM'!N47</f>
        <v>0</v>
      </c>
      <c r="AC44" s="80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81"/>
      <c r="AP44" s="80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9">
        <f t="shared" si="0"/>
        <v>0</v>
      </c>
      <c r="BC44" s="80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9"/>
    </row>
    <row r="45" spans="1:67" ht="15">
      <c r="A45" s="74" t="s">
        <v>129</v>
      </c>
      <c r="B45" s="85" t="s">
        <v>130</v>
      </c>
      <c r="C45" s="80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9">
        <f>'Seznam OM'!M48</f>
        <v>34.829</v>
      </c>
      <c r="P45" s="80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9">
        <f>'Seznam OM'!N48</f>
        <v>0</v>
      </c>
      <c r="AC45" s="80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81">
        <f>'Seznam OM'!O48</f>
        <v>35.612</v>
      </c>
      <c r="AP45" s="80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9">
        <f t="shared" si="0"/>
        <v>0</v>
      </c>
      <c r="BC45" s="80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9"/>
    </row>
    <row r="46" spans="1:67" ht="15">
      <c r="A46" s="105" t="s">
        <v>132</v>
      </c>
      <c r="B46" s="98" t="s">
        <v>133</v>
      </c>
      <c r="C46" s="80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9">
        <f>'Seznam OM'!M49</f>
        <v>0</v>
      </c>
      <c r="P46" s="80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9">
        <f>'Seznam OM'!N49</f>
        <v>0</v>
      </c>
      <c r="AC46" s="80">
        <v>10</v>
      </c>
      <c r="AD46" s="73">
        <v>6</v>
      </c>
      <c r="AE46" s="73">
        <v>7</v>
      </c>
      <c r="AF46" s="73">
        <v>4</v>
      </c>
      <c r="AG46" s="73">
        <v>3</v>
      </c>
      <c r="AH46" s="73">
        <v>2</v>
      </c>
      <c r="AI46" s="73">
        <v>1</v>
      </c>
      <c r="AJ46" s="73">
        <v>1</v>
      </c>
      <c r="AK46" s="73">
        <v>2</v>
      </c>
      <c r="AL46" s="73">
        <v>4</v>
      </c>
      <c r="AM46" s="73">
        <v>7</v>
      </c>
      <c r="AN46" s="73">
        <v>8</v>
      </c>
      <c r="AO46" s="81">
        <v>56</v>
      </c>
      <c r="AP46" s="80">
        <v>11</v>
      </c>
      <c r="AQ46" s="73">
        <v>9</v>
      </c>
      <c r="AR46" s="73">
        <v>6</v>
      </c>
      <c r="AS46" s="73">
        <v>5</v>
      </c>
      <c r="AT46" s="73">
        <v>3</v>
      </c>
      <c r="AU46" s="73">
        <v>2</v>
      </c>
      <c r="AV46" s="73">
        <v>1</v>
      </c>
      <c r="AW46" s="73">
        <v>1</v>
      </c>
      <c r="AX46" s="73">
        <v>2</v>
      </c>
      <c r="AY46" s="73">
        <v>4</v>
      </c>
      <c r="AZ46" s="73">
        <v>7</v>
      </c>
      <c r="BA46" s="73">
        <v>8</v>
      </c>
      <c r="BB46" s="79">
        <f t="shared" si="0"/>
        <v>57</v>
      </c>
      <c r="BC46" s="80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9"/>
    </row>
    <row r="47" spans="1:67" ht="15">
      <c r="A47" s="74" t="s">
        <v>108</v>
      </c>
      <c r="B47" s="85" t="s">
        <v>135</v>
      </c>
      <c r="C47" s="80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9">
        <f>'Seznam OM'!M50</f>
        <v>0</v>
      </c>
      <c r="P47" s="80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9">
        <f>'Seznam OM'!N50</f>
        <v>0</v>
      </c>
      <c r="AC47" s="80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81"/>
      <c r="AP47" s="80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9">
        <f t="shared" si="0"/>
        <v>0</v>
      </c>
      <c r="BC47" s="80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9"/>
    </row>
    <row r="48" spans="1:67" ht="15">
      <c r="A48" s="74" t="s">
        <v>82</v>
      </c>
      <c r="B48" s="85" t="s">
        <v>137</v>
      </c>
      <c r="C48" s="80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9">
        <f>'Seznam OM'!M51</f>
        <v>0</v>
      </c>
      <c r="P48" s="80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9">
        <f>'Seznam OM'!N51</f>
        <v>0</v>
      </c>
      <c r="AC48" s="80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81"/>
      <c r="AP48" s="80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9">
        <f t="shared" si="0"/>
        <v>0</v>
      </c>
      <c r="BC48" s="80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9"/>
    </row>
    <row r="49" spans="1:67" ht="15">
      <c r="A49" s="74" t="s">
        <v>108</v>
      </c>
      <c r="B49" s="85" t="s">
        <v>139</v>
      </c>
      <c r="C49" s="80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9">
        <f>'Seznam OM'!M52</f>
        <v>0</v>
      </c>
      <c r="P49" s="80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9">
        <f>'Seznam OM'!N52</f>
        <v>0</v>
      </c>
      <c r="AC49" s="80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81"/>
      <c r="AP49" s="80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9">
        <f t="shared" si="0"/>
        <v>0</v>
      </c>
      <c r="BC49" s="80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9"/>
    </row>
    <row r="50" spans="1:67" ht="15">
      <c r="A50" s="74" t="s">
        <v>108</v>
      </c>
      <c r="B50" s="85" t="s">
        <v>141</v>
      </c>
      <c r="C50" s="80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9">
        <f>'Seznam OM'!M53</f>
        <v>0</v>
      </c>
      <c r="P50" s="80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9">
        <f>'Seznam OM'!N53</f>
        <v>0</v>
      </c>
      <c r="AC50" s="80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81"/>
      <c r="AP50" s="80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9">
        <f t="shared" si="0"/>
        <v>0</v>
      </c>
      <c r="BC50" s="80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9"/>
    </row>
    <row r="51" spans="1:67" ht="15">
      <c r="A51" s="74" t="s">
        <v>108</v>
      </c>
      <c r="B51" s="85" t="s">
        <v>143</v>
      </c>
      <c r="C51" s="80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9">
        <f>'Seznam OM'!M54</f>
        <v>0</v>
      </c>
      <c r="P51" s="80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9">
        <f>'Seznam OM'!N54</f>
        <v>0</v>
      </c>
      <c r="AC51" s="80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81"/>
      <c r="AP51" s="80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9">
        <f t="shared" si="0"/>
        <v>0</v>
      </c>
      <c r="BC51" s="80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9"/>
    </row>
    <row r="52" spans="1:67" ht="15">
      <c r="A52" s="74" t="s">
        <v>108</v>
      </c>
      <c r="B52" s="85" t="s">
        <v>145</v>
      </c>
      <c r="C52" s="80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9">
        <f>'Seznam OM'!M55</f>
        <v>0</v>
      </c>
      <c r="P52" s="80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9">
        <f>'Seznam OM'!N55</f>
        <v>0</v>
      </c>
      <c r="AC52" s="80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81"/>
      <c r="AP52" s="80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9">
        <f t="shared" si="0"/>
        <v>0</v>
      </c>
      <c r="BC52" s="80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9"/>
    </row>
    <row r="53" spans="1:67" ht="15">
      <c r="A53" s="105" t="s">
        <v>147</v>
      </c>
      <c r="B53" s="98" t="s">
        <v>148</v>
      </c>
      <c r="C53" s="80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9">
        <f>'Seznam OM'!M56</f>
        <v>0</v>
      </c>
      <c r="P53" s="80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9">
        <f>'Seznam OM'!N56</f>
        <v>0</v>
      </c>
      <c r="AC53" s="80">
        <v>4</v>
      </c>
      <c r="AD53" s="73">
        <v>3</v>
      </c>
      <c r="AE53" s="73">
        <v>2</v>
      </c>
      <c r="AF53" s="73">
        <v>1</v>
      </c>
      <c r="AG53" s="73">
        <v>1</v>
      </c>
      <c r="AH53" s="73">
        <v>1</v>
      </c>
      <c r="AI53" s="73">
        <v>1</v>
      </c>
      <c r="AJ53" s="73">
        <v>1</v>
      </c>
      <c r="AK53" s="73">
        <v>1</v>
      </c>
      <c r="AL53" s="73">
        <v>2</v>
      </c>
      <c r="AM53" s="73">
        <v>3</v>
      </c>
      <c r="AN53" s="73">
        <v>4</v>
      </c>
      <c r="AO53" s="81">
        <v>20</v>
      </c>
      <c r="AP53" s="80">
        <v>4</v>
      </c>
      <c r="AQ53" s="73">
        <v>4</v>
      </c>
      <c r="AR53" s="73">
        <v>3</v>
      </c>
      <c r="AS53" s="73">
        <v>2</v>
      </c>
      <c r="AT53" s="73">
        <v>1</v>
      </c>
      <c r="AU53" s="73">
        <v>1</v>
      </c>
      <c r="AV53" s="73">
        <v>1</v>
      </c>
      <c r="AW53" s="73">
        <v>1</v>
      </c>
      <c r="AX53" s="73">
        <v>1</v>
      </c>
      <c r="AY53" s="73">
        <v>1</v>
      </c>
      <c r="AZ53" s="73">
        <v>3</v>
      </c>
      <c r="BA53" s="73">
        <v>4</v>
      </c>
      <c r="BB53" s="79">
        <f t="shared" si="0"/>
        <v>25</v>
      </c>
      <c r="BC53" s="80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9"/>
    </row>
    <row r="54" spans="1:67" ht="15">
      <c r="A54" s="74" t="s">
        <v>108</v>
      </c>
      <c r="B54" s="85" t="s">
        <v>150</v>
      </c>
      <c r="C54" s="80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9">
        <f>'Seznam OM'!M57</f>
        <v>0</v>
      </c>
      <c r="P54" s="80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9">
        <f>'Seznam OM'!N57</f>
        <v>0</v>
      </c>
      <c r="AC54" s="80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81"/>
      <c r="AP54" s="80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9">
        <f t="shared" si="0"/>
        <v>0</v>
      </c>
      <c r="BC54" s="80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9"/>
    </row>
    <row r="55" spans="1:67" ht="15">
      <c r="A55" s="74" t="s">
        <v>108</v>
      </c>
      <c r="B55" s="85" t="s">
        <v>152</v>
      </c>
      <c r="C55" s="80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9">
        <f>'Seznam OM'!M58</f>
        <v>0</v>
      </c>
      <c r="P55" s="80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9">
        <f>'Seznam OM'!N58</f>
        <v>0</v>
      </c>
      <c r="AC55" s="80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81"/>
      <c r="AP55" s="80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9">
        <f t="shared" si="0"/>
        <v>0</v>
      </c>
      <c r="BC55" s="80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9"/>
    </row>
    <row r="56" spans="1:67" ht="15">
      <c r="A56" s="74" t="s">
        <v>132</v>
      </c>
      <c r="B56" s="85" t="s">
        <v>154</v>
      </c>
      <c r="C56" s="80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9">
        <f>'Seznam OM'!M59</f>
        <v>0</v>
      </c>
      <c r="P56" s="80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9">
        <f>'Seznam OM'!N59</f>
        <v>0</v>
      </c>
      <c r="AC56" s="80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81"/>
      <c r="AP56" s="80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9">
        <f t="shared" si="0"/>
        <v>0</v>
      </c>
      <c r="BC56" s="80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9"/>
    </row>
    <row r="57" spans="1:67" ht="15">
      <c r="A57" s="74" t="s">
        <v>82</v>
      </c>
      <c r="B57" s="85" t="s">
        <v>156</v>
      </c>
      <c r="C57" s="80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9">
        <f>'Seznam OM'!M60</f>
        <v>0</v>
      </c>
      <c r="P57" s="80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9">
        <f>'Seznam OM'!N60</f>
        <v>0</v>
      </c>
      <c r="AC57" s="80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81"/>
      <c r="AP57" s="80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9">
        <f t="shared" si="0"/>
        <v>0</v>
      </c>
      <c r="BC57" s="80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9"/>
    </row>
    <row r="58" spans="1:67" ht="15">
      <c r="A58" s="74" t="s">
        <v>108</v>
      </c>
      <c r="B58" s="85" t="s">
        <v>158</v>
      </c>
      <c r="C58" s="80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9">
        <f>'Seznam OM'!M61</f>
        <v>0</v>
      </c>
      <c r="P58" s="80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9">
        <f>'Seznam OM'!N61</f>
        <v>0</v>
      </c>
      <c r="AC58" s="80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81"/>
      <c r="AP58" s="80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9">
        <f t="shared" si="0"/>
        <v>0</v>
      </c>
      <c r="BC58" s="80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9"/>
    </row>
    <row r="59" spans="1:67" ht="15">
      <c r="A59" s="74" t="s">
        <v>108</v>
      </c>
      <c r="B59" s="85" t="s">
        <v>160</v>
      </c>
      <c r="C59" s="80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9">
        <f>'Seznam OM'!M62</f>
        <v>0</v>
      </c>
      <c r="P59" s="80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9">
        <f>'Seznam OM'!N62</f>
        <v>0</v>
      </c>
      <c r="AC59" s="80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81"/>
      <c r="AP59" s="80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9">
        <f t="shared" si="0"/>
        <v>0</v>
      </c>
      <c r="BC59" s="80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9"/>
    </row>
    <row r="60" spans="1:67" ht="15">
      <c r="A60" s="74" t="s">
        <v>108</v>
      </c>
      <c r="B60" s="85" t="s">
        <v>162</v>
      </c>
      <c r="C60" s="80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9">
        <f>'Seznam OM'!M63</f>
        <v>0</v>
      </c>
      <c r="P60" s="80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9">
        <f>'Seznam OM'!N63</f>
        <v>0</v>
      </c>
      <c r="AC60" s="80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81"/>
      <c r="AP60" s="80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9">
        <f t="shared" si="0"/>
        <v>0</v>
      </c>
      <c r="BC60" s="80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9"/>
    </row>
    <row r="61" spans="1:67" ht="15">
      <c r="A61" s="74" t="s">
        <v>108</v>
      </c>
      <c r="B61" s="85" t="s">
        <v>164</v>
      </c>
      <c r="C61" s="80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9">
        <f>'Seznam OM'!M64</f>
        <v>0</v>
      </c>
      <c r="P61" s="80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9">
        <f>'Seznam OM'!N64</f>
        <v>0</v>
      </c>
      <c r="AC61" s="80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81"/>
      <c r="AP61" s="80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9">
        <f t="shared" si="0"/>
        <v>0</v>
      </c>
      <c r="BC61" s="80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9"/>
    </row>
    <row r="62" spans="1:67" ht="15">
      <c r="A62" s="74" t="s">
        <v>108</v>
      </c>
      <c r="B62" s="85" t="s">
        <v>166</v>
      </c>
      <c r="C62" s="80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9">
        <f>'Seznam OM'!M65</f>
        <v>0</v>
      </c>
      <c r="P62" s="80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9">
        <f>'Seznam OM'!N65</f>
        <v>0</v>
      </c>
      <c r="AC62" s="80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81"/>
      <c r="AP62" s="80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9">
        <f t="shared" si="0"/>
        <v>0</v>
      </c>
      <c r="BC62" s="80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9"/>
    </row>
    <row r="63" spans="1:67" ht="15">
      <c r="A63" s="74" t="s">
        <v>108</v>
      </c>
      <c r="B63" s="85" t="s">
        <v>168</v>
      </c>
      <c r="C63" s="80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9">
        <f>'Seznam OM'!M66</f>
        <v>0</v>
      </c>
      <c r="P63" s="80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9">
        <f>'Seznam OM'!N66</f>
        <v>0</v>
      </c>
      <c r="AC63" s="80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81"/>
      <c r="AP63" s="80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9">
        <f t="shared" si="0"/>
        <v>0</v>
      </c>
      <c r="BC63" s="80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9"/>
    </row>
    <row r="64" spans="1:67" ht="15">
      <c r="A64" s="74" t="s">
        <v>108</v>
      </c>
      <c r="B64" s="85" t="s">
        <v>170</v>
      </c>
      <c r="C64" s="80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9">
        <f>'Seznam OM'!M67</f>
        <v>0</v>
      </c>
      <c r="P64" s="80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9">
        <f>'Seznam OM'!N67</f>
        <v>0</v>
      </c>
      <c r="AC64" s="80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81"/>
      <c r="AP64" s="80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9">
        <f t="shared" si="0"/>
        <v>0</v>
      </c>
      <c r="BC64" s="80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9"/>
    </row>
    <row r="65" spans="1:67" ht="15">
      <c r="A65" s="74" t="s">
        <v>108</v>
      </c>
      <c r="B65" s="85" t="s">
        <v>172</v>
      </c>
      <c r="C65" s="80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9">
        <f>'Seznam OM'!M68</f>
        <v>0</v>
      </c>
      <c r="P65" s="80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9">
        <f>'Seznam OM'!N68</f>
        <v>0</v>
      </c>
      <c r="AC65" s="80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81"/>
      <c r="AP65" s="80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9">
        <f t="shared" si="0"/>
        <v>0</v>
      </c>
      <c r="BC65" s="80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9"/>
    </row>
    <row r="66" spans="1:67" ht="15">
      <c r="A66" s="74" t="s">
        <v>44</v>
      </c>
      <c r="B66" s="87" t="s">
        <v>174</v>
      </c>
      <c r="C66" s="80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9">
        <f>'Seznam OM'!M69</f>
        <v>0</v>
      </c>
      <c r="P66" s="80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9">
        <f>'Seznam OM'!N69</f>
        <v>0</v>
      </c>
      <c r="AC66" s="80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81"/>
      <c r="AP66" s="80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9">
        <f t="shared" si="0"/>
        <v>0</v>
      </c>
      <c r="BC66" s="80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9"/>
    </row>
    <row r="67" spans="1:67" ht="15">
      <c r="A67" s="74" t="s">
        <v>108</v>
      </c>
      <c r="B67" s="85" t="s">
        <v>176</v>
      </c>
      <c r="C67" s="80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9">
        <f>'Seznam OM'!M70</f>
        <v>0</v>
      </c>
      <c r="P67" s="80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9">
        <f>'Seznam OM'!N70</f>
        <v>0</v>
      </c>
      <c r="AC67" s="80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81"/>
      <c r="AP67" s="80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9">
        <f t="shared" si="0"/>
        <v>0</v>
      </c>
      <c r="BC67" s="80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9"/>
    </row>
    <row r="68" spans="1:67" ht="15">
      <c r="A68" s="74" t="s">
        <v>44</v>
      </c>
      <c r="B68" s="87" t="s">
        <v>178</v>
      </c>
      <c r="C68" s="80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9">
        <f>'Seznam OM'!M71</f>
        <v>0</v>
      </c>
      <c r="P68" s="80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9">
        <f>'Seznam OM'!N71</f>
        <v>0</v>
      </c>
      <c r="AC68" s="80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81"/>
      <c r="AP68" s="80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9">
        <f t="shared" si="0"/>
        <v>0</v>
      </c>
      <c r="BC68" s="80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9"/>
    </row>
    <row r="69" spans="1:67" ht="15">
      <c r="A69" s="74" t="s">
        <v>108</v>
      </c>
      <c r="B69" s="85" t="s">
        <v>180</v>
      </c>
      <c r="C69" s="80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9">
        <f>'Seznam OM'!M72</f>
        <v>0</v>
      </c>
      <c r="P69" s="80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9">
        <f>'Seznam OM'!N72</f>
        <v>0</v>
      </c>
      <c r="AC69" s="80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81"/>
      <c r="AP69" s="80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9">
        <f aca="true" t="shared" si="1" ref="BB69:BB95">(SUM(AP69:BA69)+SUM(AC69:AN69))/2</f>
        <v>0</v>
      </c>
      <c r="BC69" s="80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9"/>
    </row>
    <row r="70" spans="1:67" ht="15">
      <c r="A70" s="74" t="s">
        <v>108</v>
      </c>
      <c r="B70" s="85" t="s">
        <v>182</v>
      </c>
      <c r="C70" s="80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9">
        <f>'Seznam OM'!M73</f>
        <v>0</v>
      </c>
      <c r="P70" s="80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9">
        <f>'Seznam OM'!N73</f>
        <v>0</v>
      </c>
      <c r="AC70" s="80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81"/>
      <c r="AP70" s="80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9">
        <f t="shared" si="1"/>
        <v>0</v>
      </c>
      <c r="BC70" s="80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9"/>
    </row>
    <row r="71" spans="1:67" ht="15">
      <c r="A71" s="74" t="s">
        <v>108</v>
      </c>
      <c r="B71" s="85" t="s">
        <v>184</v>
      </c>
      <c r="C71" s="80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9">
        <f>'Seznam OM'!M74</f>
        <v>0</v>
      </c>
      <c r="P71" s="80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9">
        <f>'Seznam OM'!N74</f>
        <v>0</v>
      </c>
      <c r="AC71" s="80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81"/>
      <c r="AP71" s="80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9">
        <f t="shared" si="1"/>
        <v>0</v>
      </c>
      <c r="BC71" s="80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9"/>
    </row>
    <row r="72" spans="1:67" ht="15">
      <c r="A72" s="74" t="s">
        <v>108</v>
      </c>
      <c r="B72" s="85" t="s">
        <v>186</v>
      </c>
      <c r="C72" s="80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9">
        <f>'Seznam OM'!M75</f>
        <v>0</v>
      </c>
      <c r="P72" s="80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9">
        <f>'Seznam OM'!N75</f>
        <v>0</v>
      </c>
      <c r="AC72" s="80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81"/>
      <c r="AP72" s="80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9">
        <f t="shared" si="1"/>
        <v>0</v>
      </c>
      <c r="BC72" s="80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9"/>
    </row>
    <row r="73" spans="1:67" ht="15">
      <c r="A73" s="74" t="s">
        <v>44</v>
      </c>
      <c r="B73" s="87" t="s">
        <v>188</v>
      </c>
      <c r="C73" s="80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9">
        <f>'Seznam OM'!M76</f>
        <v>0</v>
      </c>
      <c r="P73" s="80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9">
        <f>'Seznam OM'!N76</f>
        <v>0</v>
      </c>
      <c r="AC73" s="80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81"/>
      <c r="AP73" s="80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9">
        <f t="shared" si="1"/>
        <v>0</v>
      </c>
      <c r="BC73" s="80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9"/>
    </row>
    <row r="74" spans="1:67" ht="15">
      <c r="A74" s="74" t="s">
        <v>44</v>
      </c>
      <c r="B74" s="87" t="s">
        <v>190</v>
      </c>
      <c r="C74" s="80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9">
        <f>'Seznam OM'!M77</f>
        <v>0</v>
      </c>
      <c r="P74" s="80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9">
        <f>'Seznam OM'!N77</f>
        <v>0</v>
      </c>
      <c r="AC74" s="80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81"/>
      <c r="AP74" s="80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9">
        <f t="shared" si="1"/>
        <v>0</v>
      </c>
      <c r="BC74" s="80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9"/>
    </row>
    <row r="75" spans="1:67" ht="15">
      <c r="A75" s="74" t="s">
        <v>108</v>
      </c>
      <c r="B75" s="85" t="s">
        <v>192</v>
      </c>
      <c r="C75" s="80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9">
        <f>'Seznam OM'!M78</f>
        <v>0</v>
      </c>
      <c r="P75" s="80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9">
        <f>'Seznam OM'!N78</f>
        <v>0</v>
      </c>
      <c r="AC75" s="80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81"/>
      <c r="AP75" s="80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9">
        <f t="shared" si="1"/>
        <v>0</v>
      </c>
      <c r="BC75" s="80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9"/>
    </row>
    <row r="76" spans="1:67" ht="15">
      <c r="A76" s="74" t="s">
        <v>44</v>
      </c>
      <c r="B76" s="87" t="s">
        <v>194</v>
      </c>
      <c r="C76" s="80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9">
        <f>'Seznam OM'!M79</f>
        <v>0</v>
      </c>
      <c r="P76" s="80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9">
        <f>'Seznam OM'!N79</f>
        <v>0</v>
      </c>
      <c r="AC76" s="80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81"/>
      <c r="AP76" s="80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9">
        <f t="shared" si="1"/>
        <v>0</v>
      </c>
      <c r="BC76" s="80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9"/>
    </row>
    <row r="77" spans="1:67" ht="15">
      <c r="A77" s="74" t="s">
        <v>44</v>
      </c>
      <c r="B77" s="87" t="s">
        <v>196</v>
      </c>
      <c r="C77" s="80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9">
        <f>'Seznam OM'!M80</f>
        <v>0</v>
      </c>
      <c r="P77" s="80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9">
        <f>'Seznam OM'!N80</f>
        <v>0</v>
      </c>
      <c r="AC77" s="80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81"/>
      <c r="AP77" s="80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9">
        <f t="shared" si="1"/>
        <v>0</v>
      </c>
      <c r="BC77" s="80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9"/>
    </row>
    <row r="78" spans="1:67" ht="15">
      <c r="A78" s="74" t="s">
        <v>44</v>
      </c>
      <c r="B78" s="87" t="s">
        <v>198</v>
      </c>
      <c r="C78" s="80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9">
        <f>'Seznam OM'!M81</f>
        <v>0</v>
      </c>
      <c r="P78" s="80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9">
        <f>'Seznam OM'!N81</f>
        <v>0</v>
      </c>
      <c r="AC78" s="80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81"/>
      <c r="AP78" s="80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9">
        <f t="shared" si="1"/>
        <v>0</v>
      </c>
      <c r="BC78" s="80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9"/>
    </row>
    <row r="79" spans="1:67" ht="15">
      <c r="A79" s="74" t="s">
        <v>44</v>
      </c>
      <c r="B79" s="87" t="s">
        <v>200</v>
      </c>
      <c r="C79" s="80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9">
        <f>'Seznam OM'!M82</f>
        <v>0</v>
      </c>
      <c r="P79" s="80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9">
        <f>'Seznam OM'!N82</f>
        <v>0</v>
      </c>
      <c r="AC79" s="80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81"/>
      <c r="AP79" s="80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9">
        <f t="shared" si="1"/>
        <v>0</v>
      </c>
      <c r="BC79" s="80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9"/>
    </row>
    <row r="80" spans="1:67" ht="15">
      <c r="A80" s="74" t="s">
        <v>44</v>
      </c>
      <c r="B80" s="87" t="s">
        <v>202</v>
      </c>
      <c r="C80" s="80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9">
        <f>'Seznam OM'!M83</f>
        <v>0</v>
      </c>
      <c r="P80" s="80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9">
        <f>'Seznam OM'!N83</f>
        <v>0</v>
      </c>
      <c r="AC80" s="80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81"/>
      <c r="AP80" s="80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9">
        <f t="shared" si="1"/>
        <v>0</v>
      </c>
      <c r="BC80" s="80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9"/>
    </row>
    <row r="81" spans="1:67" ht="15">
      <c r="A81" s="74" t="s">
        <v>108</v>
      </c>
      <c r="B81" s="85" t="s">
        <v>204</v>
      </c>
      <c r="C81" s="80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9">
        <f>'Seznam OM'!M84</f>
        <v>0</v>
      </c>
      <c r="P81" s="80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9">
        <f>'Seznam OM'!N84</f>
        <v>0</v>
      </c>
      <c r="AC81" s="80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81"/>
      <c r="AP81" s="80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9">
        <f t="shared" si="1"/>
        <v>0</v>
      </c>
      <c r="BC81" s="80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9"/>
    </row>
    <row r="82" spans="1:67" ht="15">
      <c r="A82" s="74" t="s">
        <v>108</v>
      </c>
      <c r="B82" s="85" t="s">
        <v>206</v>
      </c>
      <c r="C82" s="80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9">
        <f>'Seznam OM'!M85</f>
        <v>0</v>
      </c>
      <c r="P82" s="80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9">
        <f>'Seznam OM'!N85</f>
        <v>0</v>
      </c>
      <c r="AC82" s="80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81"/>
      <c r="AP82" s="80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9">
        <f t="shared" si="1"/>
        <v>0</v>
      </c>
      <c r="BC82" s="80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9"/>
    </row>
    <row r="83" spans="1:67" ht="15">
      <c r="A83" s="74" t="s">
        <v>108</v>
      </c>
      <c r="B83" s="85" t="s">
        <v>208</v>
      </c>
      <c r="C83" s="80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9">
        <f>'Seznam OM'!M86</f>
        <v>0</v>
      </c>
      <c r="P83" s="80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9">
        <f>'Seznam OM'!N86</f>
        <v>0</v>
      </c>
      <c r="AC83" s="80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81"/>
      <c r="AP83" s="80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9">
        <f t="shared" si="1"/>
        <v>0</v>
      </c>
      <c r="BC83" s="80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9"/>
    </row>
    <row r="84" spans="1:67" ht="15">
      <c r="A84" s="74" t="s">
        <v>108</v>
      </c>
      <c r="B84" s="85" t="s">
        <v>210</v>
      </c>
      <c r="C84" s="80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9">
        <f>'Seznam OM'!M87</f>
        <v>0</v>
      </c>
      <c r="P84" s="80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9">
        <f>'Seznam OM'!N87</f>
        <v>0</v>
      </c>
      <c r="AC84" s="80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81"/>
      <c r="AP84" s="80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9">
        <f t="shared" si="1"/>
        <v>0</v>
      </c>
      <c r="BC84" s="80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9"/>
    </row>
    <row r="85" spans="1:67" ht="15">
      <c r="A85" s="74" t="s">
        <v>108</v>
      </c>
      <c r="B85" s="85" t="s">
        <v>212</v>
      </c>
      <c r="C85" s="80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9">
        <f>'Seznam OM'!M88</f>
        <v>0</v>
      </c>
      <c r="P85" s="80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9">
        <f>'Seznam OM'!N88</f>
        <v>0</v>
      </c>
      <c r="AC85" s="80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81"/>
      <c r="AP85" s="80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9">
        <f t="shared" si="1"/>
        <v>0</v>
      </c>
      <c r="BC85" s="80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9"/>
    </row>
    <row r="86" spans="1:67" ht="15">
      <c r="A86" s="74" t="s">
        <v>108</v>
      </c>
      <c r="B86" s="85" t="s">
        <v>214</v>
      </c>
      <c r="C86" s="80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9">
        <f>'Seznam OM'!M89</f>
        <v>0</v>
      </c>
      <c r="P86" s="80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9">
        <f>'Seznam OM'!N89</f>
        <v>0</v>
      </c>
      <c r="AC86" s="80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81"/>
      <c r="AP86" s="80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9">
        <f t="shared" si="1"/>
        <v>0</v>
      </c>
      <c r="BC86" s="80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9"/>
    </row>
    <row r="87" spans="1:67" ht="15">
      <c r="A87" s="74" t="s">
        <v>108</v>
      </c>
      <c r="B87" s="85" t="s">
        <v>216</v>
      </c>
      <c r="C87" s="80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9">
        <f>'Seznam OM'!M90</f>
        <v>0</v>
      </c>
      <c r="P87" s="80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9">
        <f>'Seznam OM'!N90</f>
        <v>0</v>
      </c>
      <c r="AC87" s="80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81"/>
      <c r="AP87" s="80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9">
        <f t="shared" si="1"/>
        <v>0</v>
      </c>
      <c r="BC87" s="80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9"/>
    </row>
    <row r="88" spans="1:67" ht="15">
      <c r="A88" s="74" t="s">
        <v>108</v>
      </c>
      <c r="B88" s="85" t="s">
        <v>218</v>
      </c>
      <c r="C88" s="80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9">
        <f>'Seznam OM'!M91</f>
        <v>0</v>
      </c>
      <c r="P88" s="80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9">
        <f>'Seznam OM'!N91</f>
        <v>0</v>
      </c>
      <c r="AC88" s="80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81"/>
      <c r="AP88" s="80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9">
        <f t="shared" si="1"/>
        <v>0</v>
      </c>
      <c r="BC88" s="80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9"/>
    </row>
    <row r="89" spans="1:67" ht="15">
      <c r="A89" s="74" t="s">
        <v>108</v>
      </c>
      <c r="B89" s="85" t="s">
        <v>220</v>
      </c>
      <c r="C89" s="80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9">
        <f>'Seznam OM'!M92</f>
        <v>0</v>
      </c>
      <c r="P89" s="80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9">
        <f>'Seznam OM'!N92</f>
        <v>0</v>
      </c>
      <c r="AC89" s="80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81"/>
      <c r="AP89" s="80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9">
        <f t="shared" si="1"/>
        <v>0</v>
      </c>
      <c r="BC89" s="80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9"/>
    </row>
    <row r="90" spans="1:67" ht="15">
      <c r="A90" s="74" t="s">
        <v>108</v>
      </c>
      <c r="B90" s="85" t="s">
        <v>222</v>
      </c>
      <c r="C90" s="80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9">
        <f>'Seznam OM'!M93</f>
        <v>0</v>
      </c>
      <c r="P90" s="80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9">
        <f>'Seznam OM'!N93</f>
        <v>0</v>
      </c>
      <c r="AC90" s="80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81"/>
      <c r="AP90" s="80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9">
        <f t="shared" si="1"/>
        <v>0</v>
      </c>
      <c r="BC90" s="80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9"/>
    </row>
    <row r="91" spans="1:67" ht="15">
      <c r="A91" s="74" t="s">
        <v>108</v>
      </c>
      <c r="B91" s="85" t="s">
        <v>224</v>
      </c>
      <c r="C91" s="80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9">
        <f>'Seznam OM'!M94</f>
        <v>0</v>
      </c>
      <c r="P91" s="80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9">
        <f>'Seznam OM'!N94</f>
        <v>0</v>
      </c>
      <c r="AC91" s="80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81"/>
      <c r="AP91" s="80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9">
        <f t="shared" si="1"/>
        <v>0</v>
      </c>
      <c r="BC91" s="80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9"/>
    </row>
    <row r="92" spans="1:67" ht="15">
      <c r="A92" s="74" t="s">
        <v>108</v>
      </c>
      <c r="B92" s="85" t="s">
        <v>226</v>
      </c>
      <c r="C92" s="80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9">
        <f>'Seznam OM'!M95</f>
        <v>0</v>
      </c>
      <c r="P92" s="80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9">
        <f>'Seznam OM'!N95</f>
        <v>0</v>
      </c>
      <c r="AC92" s="80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81"/>
      <c r="AP92" s="80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9">
        <f t="shared" si="1"/>
        <v>0</v>
      </c>
      <c r="BC92" s="80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9"/>
    </row>
    <row r="93" spans="1:67" ht="15">
      <c r="A93" s="74" t="s">
        <v>108</v>
      </c>
      <c r="B93" s="85" t="s">
        <v>228</v>
      </c>
      <c r="C93" s="80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81"/>
      <c r="P93" s="80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81"/>
      <c r="AC93" s="80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81"/>
      <c r="AP93" s="80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9">
        <f t="shared" si="1"/>
        <v>0</v>
      </c>
      <c r="BC93" s="80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9"/>
    </row>
    <row r="94" spans="1:67" ht="15">
      <c r="A94" s="74" t="s">
        <v>44</v>
      </c>
      <c r="B94" s="85" t="s">
        <v>230</v>
      </c>
      <c r="C94" s="80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81"/>
      <c r="P94" s="80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81"/>
      <c r="AC94" s="80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81"/>
      <c r="AP94" s="80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9">
        <f t="shared" si="1"/>
        <v>0</v>
      </c>
      <c r="BC94" s="80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9"/>
    </row>
    <row r="95" spans="1:67" ht="15" thickBot="1">
      <c r="A95" s="91" t="s">
        <v>232</v>
      </c>
      <c r="B95" s="88" t="s">
        <v>233</v>
      </c>
      <c r="C95" s="82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4"/>
      <c r="P95" s="82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4"/>
      <c r="AC95" s="82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4"/>
      <c r="AP95" s="82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79">
        <f t="shared" si="1"/>
        <v>0</v>
      </c>
      <c r="BC95" s="82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79"/>
    </row>
    <row r="96" spans="1:67" ht="15">
      <c r="A96" s="147" t="s">
        <v>44</v>
      </c>
      <c r="B96" s="147" t="s">
        <v>230</v>
      </c>
      <c r="C96" s="152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53"/>
      <c r="P96" s="152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53"/>
      <c r="AC96" s="152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53"/>
      <c r="AP96" s="152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53"/>
      <c r="BC96" s="152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53"/>
    </row>
    <row r="97" spans="1:67" ht="15">
      <c r="A97" s="89" t="s">
        <v>232</v>
      </c>
      <c r="B97" s="89" t="s">
        <v>233</v>
      </c>
      <c r="C97" s="80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81"/>
      <c r="P97" s="80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81"/>
      <c r="AC97" s="80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81"/>
      <c r="AP97" s="80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81"/>
      <c r="BC97" s="80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81"/>
    </row>
    <row r="98" spans="1:67" ht="15">
      <c r="A98" s="89" t="s">
        <v>237</v>
      </c>
      <c r="B98" s="89" t="s">
        <v>238</v>
      </c>
      <c r="C98" s="80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81"/>
      <c r="P98" s="80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81"/>
      <c r="AC98" s="80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81"/>
      <c r="AP98" s="80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81"/>
      <c r="BC98" s="80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81"/>
    </row>
    <row r="99" spans="1:67" ht="15">
      <c r="A99" s="89" t="s">
        <v>237</v>
      </c>
      <c r="B99" s="89" t="s">
        <v>240</v>
      </c>
      <c r="C99" s="80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81"/>
      <c r="P99" s="80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81"/>
      <c r="AC99" s="80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81"/>
      <c r="AP99" s="80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81"/>
      <c r="BC99" s="80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81"/>
    </row>
    <row r="100" spans="1:67" ht="15">
      <c r="A100" s="89" t="s">
        <v>237</v>
      </c>
      <c r="B100" s="89" t="s">
        <v>242</v>
      </c>
      <c r="C100" s="80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81"/>
      <c r="P100" s="80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81"/>
      <c r="AC100" s="80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81"/>
      <c r="AP100" s="80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81"/>
      <c r="BC100" s="80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81"/>
    </row>
    <row r="101" spans="1:67" ht="15">
      <c r="A101" s="89" t="s">
        <v>237</v>
      </c>
      <c r="B101" s="89" t="s">
        <v>244</v>
      </c>
      <c r="C101" s="80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81"/>
      <c r="P101" s="80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81"/>
      <c r="AC101" s="80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81"/>
      <c r="AP101" s="80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81"/>
      <c r="BC101" s="80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81"/>
    </row>
    <row r="102" spans="1:67" ht="15">
      <c r="A102" s="89" t="s">
        <v>237</v>
      </c>
      <c r="B102" s="89" t="s">
        <v>246</v>
      </c>
      <c r="C102" s="80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81"/>
      <c r="P102" s="80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81"/>
      <c r="AC102" s="80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81"/>
      <c r="AP102" s="80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81"/>
      <c r="BC102" s="80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81"/>
    </row>
    <row r="103" spans="1:67" ht="15">
      <c r="A103" s="89" t="s">
        <v>237</v>
      </c>
      <c r="B103" s="89" t="s">
        <v>248</v>
      </c>
      <c r="C103" s="80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81"/>
      <c r="P103" s="80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81"/>
      <c r="AC103" s="80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81"/>
      <c r="AP103" s="80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81"/>
      <c r="BC103" s="80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81"/>
    </row>
    <row r="104" spans="1:67" ht="15">
      <c r="A104" s="89" t="s">
        <v>237</v>
      </c>
      <c r="B104" s="89" t="s">
        <v>250</v>
      </c>
      <c r="C104" s="80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81"/>
      <c r="P104" s="80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81"/>
      <c r="AC104" s="80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81"/>
      <c r="AP104" s="80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81"/>
      <c r="BC104" s="80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81"/>
    </row>
    <row r="105" spans="1:67" ht="15">
      <c r="A105" s="89" t="s">
        <v>237</v>
      </c>
      <c r="B105" s="89" t="s">
        <v>252</v>
      </c>
      <c r="C105" s="80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81"/>
      <c r="P105" s="80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81"/>
      <c r="AC105" s="80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81"/>
      <c r="AP105" s="80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81"/>
      <c r="BC105" s="80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81"/>
    </row>
    <row r="106" spans="1:67" ht="15">
      <c r="A106" s="89" t="s">
        <v>237</v>
      </c>
      <c r="B106" s="89" t="s">
        <v>254</v>
      </c>
      <c r="C106" s="80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81"/>
      <c r="P106" s="80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81"/>
      <c r="AC106" s="80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81"/>
      <c r="AP106" s="80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81"/>
      <c r="BC106" s="80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81"/>
    </row>
    <row r="107" spans="1:67" ht="15">
      <c r="A107" s="89" t="s">
        <v>237</v>
      </c>
      <c r="B107" s="89" t="s">
        <v>256</v>
      </c>
      <c r="C107" s="80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81"/>
      <c r="P107" s="80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81"/>
      <c r="AC107" s="80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81"/>
      <c r="AP107" s="80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81"/>
      <c r="BC107" s="80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81"/>
    </row>
    <row r="108" spans="1:67" ht="15">
      <c r="A108" s="89" t="s">
        <v>237</v>
      </c>
      <c r="B108" s="89" t="s">
        <v>258</v>
      </c>
      <c r="C108" s="80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81"/>
      <c r="P108" s="80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81"/>
      <c r="AC108" s="80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81"/>
      <c r="AP108" s="80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81"/>
      <c r="BC108" s="80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81"/>
    </row>
    <row r="109" spans="1:67" ht="15">
      <c r="A109" s="89" t="s">
        <v>237</v>
      </c>
      <c r="B109" s="89" t="s">
        <v>260</v>
      </c>
      <c r="C109" s="80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81"/>
      <c r="P109" s="80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81"/>
      <c r="AC109" s="80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81"/>
      <c r="AP109" s="80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81"/>
      <c r="BC109" s="80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81"/>
    </row>
    <row r="110" spans="1:67" ht="15">
      <c r="A110" s="89" t="s">
        <v>237</v>
      </c>
      <c r="B110" s="89" t="s">
        <v>262</v>
      </c>
      <c r="C110" s="80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81"/>
      <c r="P110" s="80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81"/>
      <c r="AC110" s="80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81"/>
      <c r="AP110" s="80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81"/>
      <c r="BC110" s="80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81"/>
    </row>
    <row r="111" spans="1:67" ht="15">
      <c r="A111" s="89" t="s">
        <v>237</v>
      </c>
      <c r="B111" s="89" t="s">
        <v>264</v>
      </c>
      <c r="C111" s="80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81"/>
      <c r="P111" s="80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81"/>
      <c r="AC111" s="80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81"/>
      <c r="AP111" s="80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81"/>
      <c r="BC111" s="80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81"/>
    </row>
    <row r="112" spans="1:67" ht="15">
      <c r="A112" s="89" t="s">
        <v>237</v>
      </c>
      <c r="B112" s="89" t="s">
        <v>266</v>
      </c>
      <c r="C112" s="80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81"/>
      <c r="P112" s="80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81"/>
      <c r="AC112" s="80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81"/>
      <c r="AP112" s="80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81"/>
      <c r="BC112" s="80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81"/>
    </row>
    <row r="113" spans="1:67" ht="15">
      <c r="A113" s="89" t="s">
        <v>237</v>
      </c>
      <c r="B113" s="89" t="s">
        <v>268</v>
      </c>
      <c r="C113" s="80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81"/>
      <c r="P113" s="80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81"/>
      <c r="AC113" s="80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81"/>
      <c r="AP113" s="80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81"/>
      <c r="BC113" s="80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81"/>
    </row>
    <row r="114" spans="1:67" ht="15">
      <c r="A114" s="89" t="s">
        <v>237</v>
      </c>
      <c r="B114" s="89" t="s">
        <v>270</v>
      </c>
      <c r="C114" s="80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81"/>
      <c r="P114" s="80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81"/>
      <c r="AC114" s="80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81"/>
      <c r="AP114" s="80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81"/>
      <c r="BC114" s="80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81"/>
    </row>
    <row r="115" spans="1:67" ht="15">
      <c r="A115" s="89" t="s">
        <v>237</v>
      </c>
      <c r="B115" s="89" t="s">
        <v>272</v>
      </c>
      <c r="C115" s="80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81"/>
      <c r="P115" s="80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81"/>
      <c r="AC115" s="80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81"/>
      <c r="AP115" s="80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81"/>
      <c r="BC115" s="80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81"/>
    </row>
    <row r="116" spans="1:67" ht="15">
      <c r="A116" s="89" t="s">
        <v>237</v>
      </c>
      <c r="B116" s="89" t="s">
        <v>274</v>
      </c>
      <c r="C116" s="80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81"/>
      <c r="P116" s="80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81"/>
      <c r="AC116" s="80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81"/>
      <c r="AP116" s="80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81"/>
      <c r="BC116" s="80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81"/>
    </row>
    <row r="117" spans="1:67" ht="15">
      <c r="A117" s="89" t="s">
        <v>237</v>
      </c>
      <c r="B117" s="89" t="s">
        <v>276</v>
      </c>
      <c r="C117" s="80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81"/>
      <c r="P117" s="80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81"/>
      <c r="AC117" s="80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81"/>
      <c r="AP117" s="80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81"/>
      <c r="BC117" s="80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81"/>
    </row>
    <row r="118" spans="1:67" ht="15">
      <c r="A118" s="89" t="s">
        <v>237</v>
      </c>
      <c r="B118" s="89" t="s">
        <v>278</v>
      </c>
      <c r="C118" s="80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81"/>
      <c r="P118" s="80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81"/>
      <c r="AC118" s="80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81"/>
      <c r="AP118" s="80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81"/>
      <c r="BC118" s="80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81"/>
    </row>
    <row r="119" spans="1:67" ht="15">
      <c r="A119" s="89" t="s">
        <v>237</v>
      </c>
      <c r="B119" s="89" t="s">
        <v>280</v>
      </c>
      <c r="C119" s="80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81"/>
      <c r="P119" s="80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81"/>
      <c r="AC119" s="80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81"/>
      <c r="AP119" s="80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81"/>
      <c r="BC119" s="80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81"/>
    </row>
    <row r="120" spans="1:67" ht="15">
      <c r="A120" s="89" t="s">
        <v>237</v>
      </c>
      <c r="B120" s="89" t="s">
        <v>282</v>
      </c>
      <c r="C120" s="80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81"/>
      <c r="P120" s="80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81"/>
      <c r="AC120" s="80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81"/>
      <c r="AP120" s="80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81"/>
      <c r="BC120" s="80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81"/>
    </row>
    <row r="121" spans="1:67" ht="15">
      <c r="A121" s="89" t="s">
        <v>237</v>
      </c>
      <c r="B121" s="89" t="s">
        <v>284</v>
      </c>
      <c r="C121" s="80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81"/>
      <c r="P121" s="80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81"/>
      <c r="AC121" s="80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81"/>
      <c r="AP121" s="80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81"/>
      <c r="BC121" s="80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81"/>
    </row>
    <row r="122" spans="1:67" ht="15">
      <c r="A122" s="89" t="s">
        <v>237</v>
      </c>
      <c r="B122" s="89" t="s">
        <v>286</v>
      </c>
      <c r="C122" s="80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81"/>
      <c r="P122" s="80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81"/>
      <c r="AC122" s="80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81"/>
      <c r="AP122" s="80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81"/>
      <c r="BC122" s="80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81"/>
    </row>
    <row r="123" spans="1:67" ht="15">
      <c r="A123" s="89" t="s">
        <v>237</v>
      </c>
      <c r="B123" s="89" t="s">
        <v>288</v>
      </c>
      <c r="C123" s="80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81"/>
      <c r="P123" s="80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81"/>
      <c r="AC123" s="80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81"/>
      <c r="AP123" s="80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81"/>
      <c r="BC123" s="80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81"/>
    </row>
    <row r="124" spans="1:67" ht="15">
      <c r="A124" s="89" t="s">
        <v>237</v>
      </c>
      <c r="B124" s="89" t="s">
        <v>290</v>
      </c>
      <c r="C124" s="80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81"/>
      <c r="P124" s="80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81"/>
      <c r="AC124" s="80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81"/>
      <c r="AP124" s="80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81"/>
      <c r="BC124" s="80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81"/>
    </row>
    <row r="125" spans="1:67" ht="15">
      <c r="A125" s="89" t="s">
        <v>237</v>
      </c>
      <c r="B125" s="89" t="s">
        <v>292</v>
      </c>
      <c r="C125" s="80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81"/>
      <c r="P125" s="80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81"/>
      <c r="AC125" s="80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81"/>
      <c r="AP125" s="80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81"/>
      <c r="BC125" s="80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81"/>
    </row>
    <row r="126" spans="1:67" ht="15">
      <c r="A126" s="89" t="s">
        <v>237</v>
      </c>
      <c r="B126" s="89" t="s">
        <v>294</v>
      </c>
      <c r="C126" s="80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81"/>
      <c r="P126" s="80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81"/>
      <c r="AC126" s="80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81"/>
      <c r="AP126" s="80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81"/>
      <c r="BC126" s="80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81"/>
    </row>
    <row r="127" spans="1:67" ht="15">
      <c r="A127" s="89" t="s">
        <v>237</v>
      </c>
      <c r="B127" s="89" t="s">
        <v>296</v>
      </c>
      <c r="C127" s="80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81"/>
      <c r="P127" s="80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81"/>
      <c r="AC127" s="80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81"/>
      <c r="AP127" s="80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81"/>
      <c r="BC127" s="80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81"/>
    </row>
    <row r="128" spans="1:67" ht="15">
      <c r="A128" s="89" t="s">
        <v>237</v>
      </c>
      <c r="B128" s="89" t="s">
        <v>298</v>
      </c>
      <c r="C128" s="80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81"/>
      <c r="P128" s="80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81"/>
      <c r="AC128" s="80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81"/>
      <c r="AP128" s="80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81"/>
      <c r="BC128" s="80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81"/>
    </row>
    <row r="129" spans="1:67" ht="15">
      <c r="A129" s="89" t="s">
        <v>237</v>
      </c>
      <c r="B129" s="89" t="s">
        <v>300</v>
      </c>
      <c r="C129" s="80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81"/>
      <c r="P129" s="80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81"/>
      <c r="AC129" s="80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81"/>
      <c r="AP129" s="80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81"/>
      <c r="BC129" s="80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81"/>
    </row>
    <row r="130" spans="1:67" ht="15">
      <c r="A130" s="89" t="s">
        <v>237</v>
      </c>
      <c r="B130" s="89" t="s">
        <v>302</v>
      </c>
      <c r="C130" s="80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81"/>
      <c r="P130" s="80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81"/>
      <c r="AC130" s="80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81"/>
      <c r="AP130" s="80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81"/>
      <c r="BC130" s="80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81"/>
    </row>
    <row r="131" spans="1:67" ht="15">
      <c r="A131" s="89" t="s">
        <v>237</v>
      </c>
      <c r="B131" s="89" t="s">
        <v>304</v>
      </c>
      <c r="C131" s="80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81"/>
      <c r="P131" s="80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81"/>
      <c r="AC131" s="80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81"/>
      <c r="AP131" s="80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81"/>
      <c r="BC131" s="80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81"/>
    </row>
    <row r="132" spans="1:67" ht="15">
      <c r="A132" s="89" t="s">
        <v>237</v>
      </c>
      <c r="B132" s="89" t="s">
        <v>306</v>
      </c>
      <c r="C132" s="80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81"/>
      <c r="P132" s="80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81"/>
      <c r="AC132" s="80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81"/>
      <c r="AP132" s="80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81"/>
      <c r="BC132" s="80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81"/>
    </row>
    <row r="133" spans="1:67" ht="15">
      <c r="A133" s="89" t="s">
        <v>237</v>
      </c>
      <c r="B133" s="89" t="s">
        <v>308</v>
      </c>
      <c r="C133" s="80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81"/>
      <c r="P133" s="80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81"/>
      <c r="AC133" s="80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81"/>
      <c r="AP133" s="80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81"/>
      <c r="BC133" s="80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81"/>
    </row>
    <row r="134" spans="1:67" ht="15">
      <c r="A134" s="89" t="s">
        <v>237</v>
      </c>
      <c r="B134" s="89" t="s">
        <v>310</v>
      </c>
      <c r="C134" s="80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81"/>
      <c r="P134" s="80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81"/>
      <c r="AC134" s="80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81"/>
      <c r="AP134" s="80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81"/>
      <c r="BC134" s="80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81"/>
    </row>
    <row r="135" spans="1:67" ht="15">
      <c r="A135" s="89" t="s">
        <v>237</v>
      </c>
      <c r="B135" s="89" t="s">
        <v>312</v>
      </c>
      <c r="C135" s="80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81"/>
      <c r="P135" s="80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81"/>
      <c r="AC135" s="80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81"/>
      <c r="AP135" s="80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81"/>
      <c r="BC135" s="80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81"/>
    </row>
    <row r="136" spans="1:67" ht="15">
      <c r="A136" s="89" t="s">
        <v>237</v>
      </c>
      <c r="B136" s="89" t="s">
        <v>314</v>
      </c>
      <c r="C136" s="80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81"/>
      <c r="P136" s="80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81"/>
      <c r="AC136" s="80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81"/>
      <c r="AP136" s="80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81"/>
      <c r="BC136" s="80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81"/>
    </row>
    <row r="137" spans="1:67" ht="15">
      <c r="A137" s="89" t="s">
        <v>237</v>
      </c>
      <c r="B137" s="89" t="s">
        <v>316</v>
      </c>
      <c r="C137" s="80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81"/>
      <c r="P137" s="80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81"/>
      <c r="AC137" s="80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81"/>
      <c r="AP137" s="80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81"/>
      <c r="BC137" s="80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81"/>
    </row>
    <row r="138" spans="1:67" ht="15">
      <c r="A138" s="89" t="s">
        <v>237</v>
      </c>
      <c r="B138" s="89" t="s">
        <v>318</v>
      </c>
      <c r="C138" s="80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81"/>
      <c r="P138" s="80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81"/>
      <c r="AC138" s="80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81"/>
      <c r="AP138" s="80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81"/>
      <c r="BC138" s="80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81"/>
    </row>
    <row r="139" spans="1:67" ht="15">
      <c r="A139" s="89" t="s">
        <v>237</v>
      </c>
      <c r="B139" s="89" t="s">
        <v>320</v>
      </c>
      <c r="C139" s="80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81"/>
      <c r="P139" s="80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81"/>
      <c r="AC139" s="80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81"/>
      <c r="AP139" s="80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81"/>
      <c r="BC139" s="80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81"/>
    </row>
    <row r="140" spans="1:67" ht="15">
      <c r="A140" s="89" t="s">
        <v>237</v>
      </c>
      <c r="B140" s="89" t="s">
        <v>322</v>
      </c>
      <c r="C140" s="80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81"/>
      <c r="P140" s="80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81"/>
      <c r="AC140" s="80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81"/>
      <c r="AP140" s="80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81"/>
      <c r="BC140" s="80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81"/>
    </row>
    <row r="141" spans="1:67" ht="15">
      <c r="A141" s="89" t="s">
        <v>237</v>
      </c>
      <c r="B141" s="89" t="s">
        <v>324</v>
      </c>
      <c r="C141" s="80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81"/>
      <c r="P141" s="80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81"/>
      <c r="AC141" s="80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81"/>
      <c r="AP141" s="80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81"/>
      <c r="BC141" s="80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81"/>
    </row>
    <row r="142" spans="1:67" ht="15">
      <c r="A142" s="89" t="s">
        <v>237</v>
      </c>
      <c r="B142" s="89" t="s">
        <v>326</v>
      </c>
      <c r="C142" s="80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81"/>
      <c r="P142" s="80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81"/>
      <c r="AC142" s="80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81"/>
      <c r="AP142" s="80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81"/>
      <c r="BC142" s="80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81"/>
    </row>
    <row r="143" spans="1:67" ht="15">
      <c r="A143" s="89" t="s">
        <v>237</v>
      </c>
      <c r="B143" s="89" t="s">
        <v>328</v>
      </c>
      <c r="C143" s="80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81"/>
      <c r="P143" s="80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81"/>
      <c r="AC143" s="80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81"/>
      <c r="AP143" s="80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81"/>
      <c r="BC143" s="80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81"/>
    </row>
    <row r="144" spans="1:67" ht="15">
      <c r="A144" s="89" t="s">
        <v>237</v>
      </c>
      <c r="B144" s="89" t="s">
        <v>330</v>
      </c>
      <c r="C144" s="80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81"/>
      <c r="P144" s="80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81"/>
      <c r="AC144" s="80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81"/>
      <c r="AP144" s="80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81"/>
      <c r="BC144" s="80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81"/>
    </row>
    <row r="145" spans="1:67" ht="15">
      <c r="A145" s="89" t="s">
        <v>237</v>
      </c>
      <c r="B145" s="89" t="s">
        <v>332</v>
      </c>
      <c r="C145" s="80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81"/>
      <c r="P145" s="80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81"/>
      <c r="AC145" s="80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81"/>
      <c r="AP145" s="80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81"/>
      <c r="BC145" s="80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81"/>
    </row>
    <row r="146" spans="1:67" ht="15">
      <c r="A146" s="89" t="s">
        <v>237</v>
      </c>
      <c r="B146" s="89" t="s">
        <v>334</v>
      </c>
      <c r="C146" s="80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81"/>
      <c r="P146" s="80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81"/>
      <c r="AC146" s="80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81"/>
      <c r="AP146" s="80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81"/>
      <c r="BC146" s="80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81"/>
    </row>
    <row r="147" spans="1:67" ht="15">
      <c r="A147" s="89" t="s">
        <v>237</v>
      </c>
      <c r="B147" s="89" t="s">
        <v>336</v>
      </c>
      <c r="C147" s="80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81"/>
      <c r="P147" s="80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81"/>
      <c r="AC147" s="80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81"/>
      <c r="AP147" s="80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81"/>
      <c r="BC147" s="80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81"/>
    </row>
    <row r="148" spans="1:67" ht="15">
      <c r="A148" s="89" t="s">
        <v>237</v>
      </c>
      <c r="B148" s="89" t="s">
        <v>338</v>
      </c>
      <c r="C148" s="80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81"/>
      <c r="P148" s="80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81"/>
      <c r="AC148" s="80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81"/>
      <c r="AP148" s="80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81"/>
      <c r="BC148" s="80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81"/>
    </row>
    <row r="149" spans="1:67" ht="15">
      <c r="A149" s="89" t="s">
        <v>237</v>
      </c>
      <c r="B149" s="89" t="s">
        <v>340</v>
      </c>
      <c r="C149" s="80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81"/>
      <c r="P149" s="80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81"/>
      <c r="AC149" s="80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81"/>
      <c r="AP149" s="80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81"/>
      <c r="BC149" s="80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81"/>
    </row>
    <row r="150" spans="1:67" ht="15">
      <c r="A150" s="89" t="s">
        <v>237</v>
      </c>
      <c r="B150" s="89" t="s">
        <v>342</v>
      </c>
      <c r="C150" s="80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81"/>
      <c r="P150" s="80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81"/>
      <c r="AC150" s="80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81"/>
      <c r="AP150" s="80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81"/>
      <c r="BC150" s="80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81"/>
    </row>
    <row r="151" spans="1:67" ht="15">
      <c r="A151" s="89" t="s">
        <v>237</v>
      </c>
      <c r="B151" s="89" t="s">
        <v>344</v>
      </c>
      <c r="C151" s="80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81"/>
      <c r="P151" s="80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81"/>
      <c r="AC151" s="80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81"/>
      <c r="AP151" s="80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81"/>
      <c r="BC151" s="80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81"/>
    </row>
    <row r="152" spans="1:67" ht="15">
      <c r="A152" s="89" t="s">
        <v>237</v>
      </c>
      <c r="B152" s="89" t="s">
        <v>346</v>
      </c>
      <c r="C152" s="80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81"/>
      <c r="P152" s="80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81"/>
      <c r="AC152" s="80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81"/>
      <c r="AP152" s="80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81"/>
      <c r="BC152" s="80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81"/>
    </row>
    <row r="153" spans="1:67" ht="15">
      <c r="A153" s="89" t="s">
        <v>237</v>
      </c>
      <c r="B153" s="89" t="s">
        <v>348</v>
      </c>
      <c r="C153" s="80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81"/>
      <c r="P153" s="80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81"/>
      <c r="AC153" s="80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81"/>
      <c r="AP153" s="80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81"/>
      <c r="BC153" s="80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81"/>
    </row>
    <row r="154" spans="1:67" ht="15">
      <c r="A154" s="89" t="s">
        <v>237</v>
      </c>
      <c r="B154" s="89" t="s">
        <v>350</v>
      </c>
      <c r="C154" s="80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81"/>
      <c r="P154" s="80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81"/>
      <c r="AC154" s="80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81"/>
      <c r="AP154" s="80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81"/>
      <c r="BC154" s="80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81"/>
    </row>
    <row r="155" spans="1:67" ht="15">
      <c r="A155" s="89" t="s">
        <v>237</v>
      </c>
      <c r="B155" s="89" t="s">
        <v>352</v>
      </c>
      <c r="C155" s="80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81"/>
      <c r="P155" s="80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81"/>
      <c r="AC155" s="80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81"/>
      <c r="AP155" s="80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81"/>
      <c r="BC155" s="80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81"/>
    </row>
    <row r="156" spans="1:67" ht="15">
      <c r="A156" s="89" t="s">
        <v>237</v>
      </c>
      <c r="B156" s="89" t="s">
        <v>354</v>
      </c>
      <c r="C156" s="80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81"/>
      <c r="P156" s="80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81"/>
      <c r="AC156" s="80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81"/>
      <c r="AP156" s="80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81"/>
      <c r="BC156" s="80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81"/>
    </row>
    <row r="157" spans="1:67" ht="15">
      <c r="A157" s="89" t="s">
        <v>237</v>
      </c>
      <c r="B157" s="89" t="s">
        <v>356</v>
      </c>
      <c r="C157" s="80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81"/>
      <c r="P157" s="80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81"/>
      <c r="AC157" s="80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81"/>
      <c r="AP157" s="80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81"/>
      <c r="BC157" s="80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81"/>
    </row>
    <row r="158" spans="1:67" ht="15">
      <c r="A158" s="89" t="s">
        <v>237</v>
      </c>
      <c r="B158" s="89" t="s">
        <v>358</v>
      </c>
      <c r="C158" s="80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81"/>
      <c r="P158" s="80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81"/>
      <c r="AC158" s="80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81"/>
      <c r="AP158" s="80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81"/>
      <c r="BC158" s="80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81"/>
    </row>
    <row r="159" spans="1:67" ht="15">
      <c r="A159" s="89" t="s">
        <v>237</v>
      </c>
      <c r="B159" s="89" t="s">
        <v>360</v>
      </c>
      <c r="C159" s="80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81"/>
      <c r="P159" s="80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81"/>
      <c r="AC159" s="80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81"/>
      <c r="AP159" s="80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81"/>
      <c r="BC159" s="80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81"/>
    </row>
    <row r="160" spans="1:67" ht="15">
      <c r="A160" s="89" t="s">
        <v>237</v>
      </c>
      <c r="B160" s="89" t="s">
        <v>362</v>
      </c>
      <c r="C160" s="80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81"/>
      <c r="P160" s="80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81"/>
      <c r="AC160" s="80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81"/>
      <c r="AP160" s="80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81"/>
      <c r="BC160" s="80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81"/>
    </row>
    <row r="161" spans="1:67" ht="15">
      <c r="A161" s="89" t="s">
        <v>237</v>
      </c>
      <c r="B161" s="89" t="s">
        <v>364</v>
      </c>
      <c r="C161" s="80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81"/>
      <c r="P161" s="80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81"/>
      <c r="AC161" s="80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81"/>
      <c r="AP161" s="80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81"/>
      <c r="BC161" s="80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81"/>
    </row>
    <row r="162" spans="1:67" ht="15">
      <c r="A162" s="89" t="s">
        <v>237</v>
      </c>
      <c r="B162" s="89" t="s">
        <v>366</v>
      </c>
      <c r="C162" s="80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81"/>
      <c r="P162" s="80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81"/>
      <c r="AC162" s="80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81"/>
      <c r="AP162" s="80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81"/>
      <c r="BC162" s="80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81"/>
    </row>
    <row r="163" spans="1:67" ht="15">
      <c r="A163" s="89" t="s">
        <v>237</v>
      </c>
      <c r="B163" s="89" t="s">
        <v>368</v>
      </c>
      <c r="C163" s="80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81"/>
      <c r="P163" s="80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81"/>
      <c r="AC163" s="80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81"/>
      <c r="AP163" s="80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81"/>
      <c r="BC163" s="80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81"/>
    </row>
    <row r="164" spans="1:67" ht="15">
      <c r="A164" s="89" t="s">
        <v>237</v>
      </c>
      <c r="B164" s="89" t="s">
        <v>370</v>
      </c>
      <c r="C164" s="80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81"/>
      <c r="P164" s="80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81"/>
      <c r="AC164" s="80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81"/>
      <c r="AP164" s="80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81"/>
      <c r="BC164" s="80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81"/>
    </row>
    <row r="165" spans="1:67" ht="15">
      <c r="A165" s="89" t="s">
        <v>237</v>
      </c>
      <c r="B165" s="89" t="s">
        <v>372</v>
      </c>
      <c r="C165" s="80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81"/>
      <c r="P165" s="80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81"/>
      <c r="AC165" s="80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81"/>
      <c r="AP165" s="80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81"/>
      <c r="BC165" s="80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81"/>
    </row>
    <row r="166" spans="1:67" ht="24">
      <c r="A166" s="89" t="s">
        <v>237</v>
      </c>
      <c r="B166" s="89" t="s">
        <v>374</v>
      </c>
      <c r="C166" s="80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81"/>
      <c r="P166" s="80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81"/>
      <c r="AC166" s="80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81"/>
      <c r="AP166" s="80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81"/>
      <c r="BC166" s="80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81"/>
    </row>
    <row r="167" spans="1:67" ht="15">
      <c r="A167" s="89" t="s">
        <v>237</v>
      </c>
      <c r="B167" s="89" t="s">
        <v>376</v>
      </c>
      <c r="C167" s="80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81"/>
      <c r="P167" s="80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81"/>
      <c r="AC167" s="80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81"/>
      <c r="AP167" s="80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81"/>
      <c r="BC167" s="80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81"/>
    </row>
    <row r="168" spans="1:67" ht="15">
      <c r="A168" s="89" t="s">
        <v>237</v>
      </c>
      <c r="B168" s="89" t="s">
        <v>378</v>
      </c>
      <c r="C168" s="80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81"/>
      <c r="P168" s="80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81"/>
      <c r="AC168" s="80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81"/>
      <c r="AP168" s="80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81"/>
      <c r="BC168" s="80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81"/>
    </row>
    <row r="169" spans="1:67" ht="15">
      <c r="A169" s="89" t="s">
        <v>237</v>
      </c>
      <c r="B169" s="89" t="s">
        <v>380</v>
      </c>
      <c r="C169" s="80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81"/>
      <c r="P169" s="80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81"/>
      <c r="AC169" s="80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81"/>
      <c r="AP169" s="80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81"/>
      <c r="BC169" s="80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81"/>
    </row>
    <row r="170" spans="1:67" ht="15">
      <c r="A170" s="89" t="s">
        <v>237</v>
      </c>
      <c r="B170" s="89" t="s">
        <v>382</v>
      </c>
      <c r="C170" s="80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81"/>
      <c r="P170" s="80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81"/>
      <c r="AC170" s="80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81"/>
      <c r="AP170" s="80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81"/>
      <c r="BC170" s="80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81"/>
    </row>
    <row r="171" spans="1:67" ht="15">
      <c r="A171" s="89" t="s">
        <v>237</v>
      </c>
      <c r="B171" s="89" t="s">
        <v>384</v>
      </c>
      <c r="C171" s="80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81"/>
      <c r="P171" s="80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81"/>
      <c r="AC171" s="80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81"/>
      <c r="AP171" s="80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81"/>
      <c r="BC171" s="80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81"/>
    </row>
    <row r="172" spans="1:67" ht="15">
      <c r="A172" s="89" t="s">
        <v>237</v>
      </c>
      <c r="B172" s="89" t="s">
        <v>386</v>
      </c>
      <c r="C172" s="80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81"/>
      <c r="P172" s="80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81"/>
      <c r="AC172" s="80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81"/>
      <c r="AP172" s="80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81"/>
      <c r="BC172" s="80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81"/>
    </row>
    <row r="173" spans="1:67" ht="15">
      <c r="A173" s="89" t="s">
        <v>237</v>
      </c>
      <c r="B173" s="89" t="s">
        <v>387</v>
      </c>
      <c r="C173" s="80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81"/>
      <c r="P173" s="80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81"/>
      <c r="AC173" s="80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81"/>
      <c r="AP173" s="80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81"/>
      <c r="BC173" s="80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81"/>
    </row>
    <row r="174" spans="1:67" ht="15">
      <c r="A174" s="89" t="s">
        <v>232</v>
      </c>
      <c r="B174" s="89" t="s">
        <v>389</v>
      </c>
      <c r="C174" s="80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81"/>
      <c r="P174" s="80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81"/>
      <c r="AC174" s="80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81"/>
      <c r="AP174" s="80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81"/>
      <c r="BC174" s="80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81"/>
    </row>
    <row r="175" spans="1:67" ht="15">
      <c r="A175" s="89" t="s">
        <v>44</v>
      </c>
      <c r="B175" s="89" t="s">
        <v>391</v>
      </c>
      <c r="C175" s="80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81"/>
      <c r="P175" s="80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81"/>
      <c r="AC175" s="80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81"/>
      <c r="AP175" s="80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81"/>
      <c r="BC175" s="80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81"/>
    </row>
    <row r="176" spans="1:67" ht="15">
      <c r="A176" s="89" t="s">
        <v>44</v>
      </c>
      <c r="B176" s="89" t="s">
        <v>393</v>
      </c>
      <c r="C176" s="80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81"/>
      <c r="P176" s="80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81"/>
      <c r="AC176" s="80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81"/>
      <c r="AP176" s="80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81"/>
      <c r="BC176" s="80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81"/>
    </row>
    <row r="177" spans="1:67" ht="15">
      <c r="A177" s="89" t="s">
        <v>44</v>
      </c>
      <c r="B177" s="89" t="s">
        <v>395</v>
      </c>
      <c r="C177" s="80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81"/>
      <c r="P177" s="80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81"/>
      <c r="AC177" s="80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81"/>
      <c r="AP177" s="80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81"/>
      <c r="BC177" s="80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81"/>
    </row>
    <row r="178" spans="1:67" ht="15">
      <c r="A178" s="89" t="s">
        <v>44</v>
      </c>
      <c r="B178" s="89" t="s">
        <v>397</v>
      </c>
      <c r="C178" s="80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81"/>
      <c r="P178" s="80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81"/>
      <c r="AC178" s="80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81"/>
      <c r="AP178" s="80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81"/>
      <c r="BC178" s="80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81"/>
    </row>
    <row r="179" spans="1:67" ht="15">
      <c r="A179" s="89" t="s">
        <v>108</v>
      </c>
      <c r="B179" s="89" t="s">
        <v>399</v>
      </c>
      <c r="C179" s="80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81"/>
      <c r="P179" s="80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81"/>
      <c r="AC179" s="80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81"/>
      <c r="AP179" s="80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81"/>
      <c r="BC179" s="80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81"/>
    </row>
    <row r="180" spans="1:67" ht="15" thickBot="1">
      <c r="A180" s="148" t="s">
        <v>44</v>
      </c>
      <c r="B180" s="148" t="s">
        <v>401</v>
      </c>
      <c r="C180" s="82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4"/>
      <c r="P180" s="82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4"/>
      <c r="AC180" s="82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4"/>
      <c r="AP180" s="82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4"/>
      <c r="BC180" s="82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4"/>
    </row>
  </sheetData>
  <mergeCells count="17">
    <mergeCell ref="AC2:AN2"/>
    <mergeCell ref="BC1:BO1"/>
    <mergeCell ref="BC2:BN2"/>
    <mergeCell ref="BO2:BO3"/>
    <mergeCell ref="A1:A3"/>
    <mergeCell ref="AO2:AO3"/>
    <mergeCell ref="AP2:BA2"/>
    <mergeCell ref="BB2:BB3"/>
    <mergeCell ref="B1:B3"/>
    <mergeCell ref="C1:O1"/>
    <mergeCell ref="P1:AB1"/>
    <mergeCell ref="AC1:AO1"/>
    <mergeCell ref="AP1:BB1"/>
    <mergeCell ref="C2:N2"/>
    <mergeCell ref="O2:O3"/>
    <mergeCell ref="P2:AA2"/>
    <mergeCell ref="AB2:AB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58A4E-F674-4A0D-896A-C30F3F9A0FE4}">
  <dimension ref="A1:BD180"/>
  <sheetViews>
    <sheetView tabSelected="1" workbookViewId="0" topLeftCell="A1">
      <selection activeCell="A1" sqref="A1:A3"/>
    </sheetView>
  </sheetViews>
  <sheetFormatPr defaultColWidth="9.140625" defaultRowHeight="15"/>
  <cols>
    <col min="1" max="1" width="33.140625" style="0" customWidth="1"/>
    <col min="2" max="2" width="44.421875" style="0" customWidth="1"/>
    <col min="3" max="28" width="8.8515625" style="0" customWidth="1"/>
    <col min="56" max="56" width="17.57421875" style="0" bestFit="1" customWidth="1"/>
    <col min="57" max="57" width="11.28125" style="0" bestFit="1" customWidth="1"/>
  </cols>
  <sheetData>
    <row r="1" spans="1:54" ht="15">
      <c r="A1" s="194" t="s">
        <v>8</v>
      </c>
      <c r="B1" s="191" t="s">
        <v>9</v>
      </c>
      <c r="C1" s="184">
        <v>2018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6"/>
      <c r="P1" s="184">
        <v>2019</v>
      </c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6"/>
      <c r="AC1" s="184">
        <v>2020</v>
      </c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6"/>
      <c r="AP1" s="184">
        <v>2021</v>
      </c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6"/>
    </row>
    <row r="2" spans="1:54" ht="15">
      <c r="A2" s="195"/>
      <c r="B2" s="192"/>
      <c r="C2" s="187" t="s">
        <v>419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9" t="s">
        <v>420</v>
      </c>
      <c r="P2" s="187" t="s">
        <v>419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9" t="s">
        <v>420</v>
      </c>
      <c r="AC2" s="187" t="s">
        <v>419</v>
      </c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9" t="s">
        <v>420</v>
      </c>
      <c r="AP2" s="187" t="s">
        <v>419</v>
      </c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9" t="s">
        <v>420</v>
      </c>
    </row>
    <row r="3" spans="1:54" ht="15" thickBot="1">
      <c r="A3" s="196"/>
      <c r="B3" s="193"/>
      <c r="C3" s="77" t="s">
        <v>403</v>
      </c>
      <c r="D3" s="76" t="s">
        <v>404</v>
      </c>
      <c r="E3" s="76" t="s">
        <v>405</v>
      </c>
      <c r="F3" s="76" t="s">
        <v>406</v>
      </c>
      <c r="G3" s="76" t="s">
        <v>407</v>
      </c>
      <c r="H3" s="76" t="s">
        <v>408</v>
      </c>
      <c r="I3" s="76" t="s">
        <v>409</v>
      </c>
      <c r="J3" s="76" t="s">
        <v>410</v>
      </c>
      <c r="K3" s="76" t="s">
        <v>411</v>
      </c>
      <c r="L3" s="76" t="s">
        <v>412</v>
      </c>
      <c r="M3" s="76" t="s">
        <v>413</v>
      </c>
      <c r="N3" s="76" t="s">
        <v>414</v>
      </c>
      <c r="O3" s="190"/>
      <c r="P3" s="77" t="s">
        <v>403</v>
      </c>
      <c r="Q3" s="76" t="s">
        <v>404</v>
      </c>
      <c r="R3" s="76" t="s">
        <v>405</v>
      </c>
      <c r="S3" s="76" t="s">
        <v>406</v>
      </c>
      <c r="T3" s="76" t="s">
        <v>407</v>
      </c>
      <c r="U3" s="76" t="s">
        <v>408</v>
      </c>
      <c r="V3" s="76" t="s">
        <v>409</v>
      </c>
      <c r="W3" s="76" t="s">
        <v>410</v>
      </c>
      <c r="X3" s="76" t="s">
        <v>411</v>
      </c>
      <c r="Y3" s="76" t="s">
        <v>412</v>
      </c>
      <c r="Z3" s="76" t="s">
        <v>413</v>
      </c>
      <c r="AA3" s="76" t="s">
        <v>414</v>
      </c>
      <c r="AB3" s="190"/>
      <c r="AC3" s="77" t="s">
        <v>403</v>
      </c>
      <c r="AD3" s="76" t="s">
        <v>404</v>
      </c>
      <c r="AE3" s="76" t="s">
        <v>405</v>
      </c>
      <c r="AF3" s="76" t="s">
        <v>406</v>
      </c>
      <c r="AG3" s="76" t="s">
        <v>407</v>
      </c>
      <c r="AH3" s="76" t="s">
        <v>408</v>
      </c>
      <c r="AI3" s="76" t="s">
        <v>409</v>
      </c>
      <c r="AJ3" s="76" t="s">
        <v>410</v>
      </c>
      <c r="AK3" s="76" t="s">
        <v>411</v>
      </c>
      <c r="AL3" s="76" t="s">
        <v>412</v>
      </c>
      <c r="AM3" s="76" t="s">
        <v>413</v>
      </c>
      <c r="AN3" s="76" t="s">
        <v>414</v>
      </c>
      <c r="AO3" s="190"/>
      <c r="AP3" s="113" t="s">
        <v>403</v>
      </c>
      <c r="AQ3" s="114" t="s">
        <v>404</v>
      </c>
      <c r="AR3" s="114" t="s">
        <v>405</v>
      </c>
      <c r="AS3" s="114" t="s">
        <v>406</v>
      </c>
      <c r="AT3" s="114" t="s">
        <v>407</v>
      </c>
      <c r="AU3" s="114" t="s">
        <v>408</v>
      </c>
      <c r="AV3" s="114" t="s">
        <v>409</v>
      </c>
      <c r="AW3" s="114" t="s">
        <v>410</v>
      </c>
      <c r="AX3" s="114" t="s">
        <v>411</v>
      </c>
      <c r="AY3" s="114" t="s">
        <v>412</v>
      </c>
      <c r="AZ3" s="114" t="s">
        <v>413</v>
      </c>
      <c r="BA3" s="114" t="s">
        <v>414</v>
      </c>
      <c r="BB3" s="197"/>
    </row>
    <row r="4" spans="1:56" ht="15">
      <c r="A4" s="115" t="s">
        <v>18</v>
      </c>
      <c r="B4" s="116" t="s">
        <v>19</v>
      </c>
      <c r="C4" s="78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9">
        <f>'Seznam OM'!H7</f>
        <v>569.989</v>
      </c>
      <c r="P4" s="78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9">
        <f>'Seznam OM'!I7</f>
        <v>636.413</v>
      </c>
      <c r="AC4" s="78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117">
        <f>'Seznam OM'!J7</f>
        <v>0</v>
      </c>
      <c r="AP4" s="118">
        <v>11.832</v>
      </c>
      <c r="AQ4" s="119">
        <v>10.496</v>
      </c>
      <c r="AR4" s="119">
        <v>10.568</v>
      </c>
      <c r="AS4" s="119">
        <v>9.455</v>
      </c>
      <c r="AT4" s="119">
        <v>10.893</v>
      </c>
      <c r="AU4" s="119">
        <v>13.872</v>
      </c>
      <c r="AV4" s="119">
        <v>79.984</v>
      </c>
      <c r="AW4" s="119">
        <v>90.717</v>
      </c>
      <c r="AX4" s="119">
        <v>78.691</v>
      </c>
      <c r="AY4" s="119">
        <v>71.235</v>
      </c>
      <c r="AZ4" s="120">
        <v>0</v>
      </c>
      <c r="BA4" s="124">
        <v>0</v>
      </c>
      <c r="BB4" s="125">
        <f>SUM(AP4:BA4)</f>
        <v>387.74300000000005</v>
      </c>
      <c r="BD4" t="e">
        <f>VLOOKUP('Seznam OM'!C7,List1!$T$5:$AG$145,14,FALSE)</f>
        <v>#N/A</v>
      </c>
    </row>
    <row r="5" spans="1:54" ht="15">
      <c r="A5" s="74" t="s">
        <v>21</v>
      </c>
      <c r="B5" s="85" t="s">
        <v>22</v>
      </c>
      <c r="C5" s="80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9">
        <f>'Seznam OM'!H8</f>
        <v>302.565</v>
      </c>
      <c r="P5" s="80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9">
        <f>'Seznam OM'!I8</f>
        <v>0</v>
      </c>
      <c r="AC5" s="80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117">
        <f>'Seznam OM'!J8</f>
        <v>0</v>
      </c>
      <c r="AP5" s="80">
        <v>33.488</v>
      </c>
      <c r="AQ5" s="73">
        <v>30.868000000000002</v>
      </c>
      <c r="AR5" s="73">
        <v>31.382</v>
      </c>
      <c r="AS5" s="73">
        <v>26.156</v>
      </c>
      <c r="AT5" s="73">
        <v>24.929</v>
      </c>
      <c r="AU5" s="73">
        <v>25.383</v>
      </c>
      <c r="AV5" s="73">
        <v>24.865000000000002</v>
      </c>
      <c r="AW5" s="73">
        <v>24.543</v>
      </c>
      <c r="AX5" s="73">
        <v>23.88</v>
      </c>
      <c r="AY5" s="73">
        <v>25.226</v>
      </c>
      <c r="AZ5" s="73">
        <v>0</v>
      </c>
      <c r="BA5" s="121">
        <v>0</v>
      </c>
      <c r="BB5" s="126">
        <f aca="true" t="shared" si="0" ref="BB5:BB68">SUM(AP5:BA5)</f>
        <v>270.72</v>
      </c>
    </row>
    <row r="6" spans="1:56" ht="15">
      <c r="A6" s="122" t="s">
        <v>25</v>
      </c>
      <c r="B6" s="85" t="s">
        <v>26</v>
      </c>
      <c r="C6" s="8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9">
        <f>'Seznam OM'!H9</f>
        <v>359.203</v>
      </c>
      <c r="P6" s="80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9">
        <f>'Seznam OM'!I9</f>
        <v>373.44</v>
      </c>
      <c r="AC6" s="80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117">
        <f>'Seznam OM'!J9</f>
        <v>0</v>
      </c>
      <c r="AP6" s="80">
        <v>14.288</v>
      </c>
      <c r="AQ6" s="73">
        <v>14.603</v>
      </c>
      <c r="AR6" s="73">
        <v>6.925</v>
      </c>
      <c r="AS6" s="73">
        <v>4.565</v>
      </c>
      <c r="AT6" s="73">
        <v>8.683</v>
      </c>
      <c r="AU6" s="73">
        <v>33.519</v>
      </c>
      <c r="AV6" s="73">
        <v>20.507</v>
      </c>
      <c r="AW6" s="73">
        <v>31.301</v>
      </c>
      <c r="AX6" s="73">
        <v>28.343</v>
      </c>
      <c r="AY6" s="73">
        <v>30.946</v>
      </c>
      <c r="AZ6" s="73">
        <v>0</v>
      </c>
      <c r="BA6" s="121">
        <v>0</v>
      </c>
      <c r="BB6" s="126">
        <f t="shared" si="0"/>
        <v>193.67999999999998</v>
      </c>
      <c r="BD6" t="e">
        <f>VLOOKUP('Seznam OM'!C9,List1!$T$5:$AG$145,14,FALSE)</f>
        <v>#N/A</v>
      </c>
    </row>
    <row r="7" spans="1:56" ht="15">
      <c r="A7" s="74" t="s">
        <v>28</v>
      </c>
      <c r="B7" s="85" t="s">
        <v>29</v>
      </c>
      <c r="C7" s="80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9">
        <f>'Seznam OM'!H10</f>
        <v>287.645</v>
      </c>
      <c r="P7" s="80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9">
        <f>'Seznam OM'!I10</f>
        <v>225.444</v>
      </c>
      <c r="AC7" s="80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117">
        <f>'Seznam OM'!J10</f>
        <v>0</v>
      </c>
      <c r="AP7" s="80">
        <v>29.565</v>
      </c>
      <c r="AQ7" s="73">
        <v>27.13</v>
      </c>
      <c r="AR7" s="73">
        <v>31.225</v>
      </c>
      <c r="AS7" s="73">
        <v>29.23</v>
      </c>
      <c r="AT7" s="73">
        <v>29.971</v>
      </c>
      <c r="AU7" s="73">
        <v>38.866</v>
      </c>
      <c r="AV7" s="73">
        <v>40.456</v>
      </c>
      <c r="AW7" s="73">
        <v>36.308</v>
      </c>
      <c r="AX7" s="73">
        <v>31.663</v>
      </c>
      <c r="AY7" s="73">
        <v>31.178</v>
      </c>
      <c r="AZ7" s="73">
        <v>0</v>
      </c>
      <c r="BA7" s="121">
        <v>0</v>
      </c>
      <c r="BB7" s="126">
        <f t="shared" si="0"/>
        <v>325.59200000000004</v>
      </c>
      <c r="BD7" t="e">
        <f>VLOOKUP('Seznam OM'!C10,List1!$T$5:$AG$145,14,FALSE)</f>
        <v>#N/A</v>
      </c>
    </row>
    <row r="8" spans="1:56" ht="15">
      <c r="A8" s="109" t="s">
        <v>31</v>
      </c>
      <c r="B8" s="86" t="s">
        <v>32</v>
      </c>
      <c r="C8" s="80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9">
        <f>'Seznam OM'!H11</f>
        <v>0</v>
      </c>
      <c r="P8" s="80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9">
        <f>'Seznam OM'!I11</f>
        <v>0</v>
      </c>
      <c r="AC8" s="80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117">
        <f>'Seznam OM'!J11</f>
        <v>0</v>
      </c>
      <c r="AP8" s="80">
        <v>8.86</v>
      </c>
      <c r="AQ8" s="73">
        <v>7.299</v>
      </c>
      <c r="AR8" s="73">
        <v>7.048</v>
      </c>
      <c r="AS8" s="73">
        <v>7.901</v>
      </c>
      <c r="AT8" s="73">
        <v>10.103</v>
      </c>
      <c r="AU8" s="73">
        <v>11.523</v>
      </c>
      <c r="AV8" s="73">
        <v>6.838</v>
      </c>
      <c r="AW8" s="73">
        <v>6.235</v>
      </c>
      <c r="AX8" s="73">
        <v>11.368</v>
      </c>
      <c r="AY8" s="73">
        <v>10.987</v>
      </c>
      <c r="AZ8" s="73">
        <v>0</v>
      </c>
      <c r="BA8" s="121">
        <v>0</v>
      </c>
      <c r="BB8" s="126">
        <f t="shared" si="0"/>
        <v>88.16199999999999</v>
      </c>
      <c r="BD8" t="e">
        <f>VLOOKUP('Seznam OM'!C11,List1!$T$5:$AG$145,14,FALSE)</f>
        <v>#N/A</v>
      </c>
    </row>
    <row r="9" spans="1:56" ht="15">
      <c r="A9" s="74" t="s">
        <v>34</v>
      </c>
      <c r="B9" s="85" t="s">
        <v>35</v>
      </c>
      <c r="C9" s="80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9">
        <f>'Seznam OM'!H12</f>
        <v>0</v>
      </c>
      <c r="P9" s="80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9">
        <f>'Seznam OM'!I12</f>
        <v>0</v>
      </c>
      <c r="AC9" s="80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117">
        <f>'Seznam OM'!J12</f>
        <v>0</v>
      </c>
      <c r="AP9" s="80">
        <v>6.713</v>
      </c>
      <c r="AQ9" s="73">
        <v>6.599</v>
      </c>
      <c r="AR9" s="73">
        <v>7.77</v>
      </c>
      <c r="AS9" s="73">
        <v>7.522</v>
      </c>
      <c r="AT9" s="73">
        <v>8.043</v>
      </c>
      <c r="AU9" s="73">
        <v>9.63</v>
      </c>
      <c r="AV9" s="73">
        <v>9.376</v>
      </c>
      <c r="AW9" s="73">
        <v>9.451</v>
      </c>
      <c r="AX9" s="73">
        <v>6.676</v>
      </c>
      <c r="AY9" s="73">
        <v>7.473</v>
      </c>
      <c r="AZ9" s="73">
        <v>0</v>
      </c>
      <c r="BA9" s="121">
        <v>0</v>
      </c>
      <c r="BB9" s="126">
        <f t="shared" si="0"/>
        <v>79.253</v>
      </c>
      <c r="BD9">
        <f>VLOOKUP('Seznam OM'!C12,List1!$T$5:$AG$145,14,FALSE)</f>
        <v>48.458596</v>
      </c>
    </row>
    <row r="10" spans="1:54" ht="52.8" customHeight="1">
      <c r="A10" s="74" t="s">
        <v>37</v>
      </c>
      <c r="B10" s="85" t="s">
        <v>38</v>
      </c>
      <c r="C10" s="80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9">
        <f>'Seznam OM'!H13</f>
        <v>0</v>
      </c>
      <c r="P10" s="80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9">
        <f>'Seznam OM'!I13</f>
        <v>0</v>
      </c>
      <c r="AC10" s="80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117">
        <f>'Seznam OM'!J13</f>
        <v>0</v>
      </c>
      <c r="AP10" s="80">
        <v>11.109</v>
      </c>
      <c r="AQ10" s="73">
        <v>10.279</v>
      </c>
      <c r="AR10" s="73">
        <v>0.56</v>
      </c>
      <c r="AS10" s="73">
        <v>5.466</v>
      </c>
      <c r="AT10" s="73">
        <v>2.345</v>
      </c>
      <c r="AU10" s="73">
        <v>0.184</v>
      </c>
      <c r="AV10" s="73">
        <v>0.231</v>
      </c>
      <c r="AW10" s="73">
        <v>0.244</v>
      </c>
      <c r="AX10" s="73">
        <v>0.252</v>
      </c>
      <c r="AY10" s="73">
        <v>5.934</v>
      </c>
      <c r="AZ10" s="73">
        <v>0</v>
      </c>
      <c r="BA10" s="121">
        <v>0</v>
      </c>
      <c r="BB10" s="126">
        <f t="shared" si="0"/>
        <v>36.604</v>
      </c>
    </row>
    <row r="11" spans="1:54" ht="15">
      <c r="A11" s="74" t="s">
        <v>40</v>
      </c>
      <c r="B11" s="85" t="s">
        <v>41</v>
      </c>
      <c r="C11" s="80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9">
        <f>'Seznam OM'!H14</f>
        <v>80.003</v>
      </c>
      <c r="P11" s="80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9">
        <f>'Seznam OM'!I14</f>
        <v>76.91</v>
      </c>
      <c r="AC11" s="80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117">
        <f>'Seznam OM'!J14</f>
        <v>62.647999999999996</v>
      </c>
      <c r="AP11" s="80">
        <v>6.061000000000001</v>
      </c>
      <c r="AQ11" s="73">
        <v>4.743</v>
      </c>
      <c r="AR11" s="73">
        <v>3.711</v>
      </c>
      <c r="AS11" s="73">
        <v>4.688000000000001</v>
      </c>
      <c r="AT11" s="73">
        <v>5.9</v>
      </c>
      <c r="AU11" s="73">
        <v>5.416</v>
      </c>
      <c r="AV11" s="73">
        <v>3.2590000000000003</v>
      </c>
      <c r="AW11" s="73">
        <v>2.635</v>
      </c>
      <c r="AX11" s="73">
        <v>6.025</v>
      </c>
      <c r="AY11" s="73">
        <v>6.805</v>
      </c>
      <c r="AZ11" s="73">
        <v>0</v>
      </c>
      <c r="BA11" s="121">
        <v>0</v>
      </c>
      <c r="BB11" s="126">
        <f t="shared" si="0"/>
        <v>49.243</v>
      </c>
    </row>
    <row r="12" spans="1:54" ht="15">
      <c r="A12" s="74" t="s">
        <v>44</v>
      </c>
      <c r="B12" s="85" t="s">
        <v>45</v>
      </c>
      <c r="C12" s="80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9">
        <f>'Seznam OM'!H15</f>
        <v>0</v>
      </c>
      <c r="P12" s="80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9">
        <f>'Seznam OM'!I15</f>
        <v>0</v>
      </c>
      <c r="AC12" s="80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117">
        <f>'Seznam OM'!J15</f>
        <v>0</v>
      </c>
      <c r="AP12" s="80">
        <v>19.916999999999998</v>
      </c>
      <c r="AQ12" s="73">
        <v>17.385</v>
      </c>
      <c r="AR12" s="73">
        <v>8.155</v>
      </c>
      <c r="AS12" s="73">
        <v>0</v>
      </c>
      <c r="AT12" s="73">
        <v>0</v>
      </c>
      <c r="AU12" s="73">
        <v>0</v>
      </c>
      <c r="AV12" s="73">
        <v>0</v>
      </c>
      <c r="AW12" s="73">
        <v>0</v>
      </c>
      <c r="AX12" s="73">
        <v>0</v>
      </c>
      <c r="AY12" s="73">
        <v>0</v>
      </c>
      <c r="AZ12" s="73">
        <v>0</v>
      </c>
      <c r="BA12" s="121">
        <v>0</v>
      </c>
      <c r="BB12" s="126">
        <f t="shared" si="0"/>
        <v>45.457</v>
      </c>
    </row>
    <row r="13" spans="1:56" ht="15">
      <c r="A13" s="74" t="s">
        <v>47</v>
      </c>
      <c r="B13" s="85" t="s">
        <v>48</v>
      </c>
      <c r="C13" s="80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9">
        <f>'Seznam OM'!H16</f>
        <v>0</v>
      </c>
      <c r="P13" s="80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9">
        <f>'Seznam OM'!I16</f>
        <v>43.35</v>
      </c>
      <c r="AC13" s="80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117">
        <f>'Seznam OM'!J16</f>
        <v>71.832</v>
      </c>
      <c r="AP13" s="80">
        <v>6.088</v>
      </c>
      <c r="AQ13" s="73">
        <v>5.3</v>
      </c>
      <c r="AR13" s="73">
        <v>4.073</v>
      </c>
      <c r="AS13" s="73">
        <v>0</v>
      </c>
      <c r="AT13" s="73">
        <v>0</v>
      </c>
      <c r="AU13" s="73">
        <v>0</v>
      </c>
      <c r="AV13" s="73">
        <v>0</v>
      </c>
      <c r="AW13" s="73">
        <v>0</v>
      </c>
      <c r="AX13" s="73">
        <v>0</v>
      </c>
      <c r="AY13" s="73">
        <v>0</v>
      </c>
      <c r="AZ13" s="73">
        <v>0</v>
      </c>
      <c r="BA13" s="121">
        <v>0</v>
      </c>
      <c r="BB13" s="126">
        <f t="shared" si="0"/>
        <v>15.461</v>
      </c>
      <c r="BD13" t="e">
        <f>VLOOKUP('Seznam OM'!C16,List1!$T$5:$AG$145,14,FALSE)</f>
        <v>#N/A</v>
      </c>
    </row>
    <row r="14" spans="1:56" ht="15">
      <c r="A14" s="74" t="s">
        <v>50</v>
      </c>
      <c r="B14" s="85" t="s">
        <v>51</v>
      </c>
      <c r="C14" s="80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9">
        <f>'Seznam OM'!H17</f>
        <v>67.842</v>
      </c>
      <c r="P14" s="80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9">
        <f>'Seznam OM'!I17</f>
        <v>67.622</v>
      </c>
      <c r="AC14" s="80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117">
        <f>'Seznam OM'!J17</f>
        <v>56.801</v>
      </c>
      <c r="AP14" s="80">
        <v>5.935</v>
      </c>
      <c r="AQ14" s="73">
        <v>4.901</v>
      </c>
      <c r="AR14" s="73">
        <v>4.262</v>
      </c>
      <c r="AS14" s="73">
        <v>3.659</v>
      </c>
      <c r="AT14" s="73">
        <v>5.09</v>
      </c>
      <c r="AU14" s="73">
        <v>4.954</v>
      </c>
      <c r="AV14" s="73">
        <v>3.592</v>
      </c>
      <c r="AW14" s="73">
        <v>2.812</v>
      </c>
      <c r="AX14" s="73">
        <v>5.636</v>
      </c>
      <c r="AY14" s="73">
        <v>6.638</v>
      </c>
      <c r="AZ14" s="73">
        <v>0</v>
      </c>
      <c r="BA14" s="121">
        <v>0</v>
      </c>
      <c r="BB14" s="126">
        <f t="shared" si="0"/>
        <v>47.479</v>
      </c>
      <c r="BD14" t="e">
        <f>VLOOKUP('Seznam OM'!C17,List1!$T$5:$AG$145,14,FALSE)</f>
        <v>#N/A</v>
      </c>
    </row>
    <row r="15" spans="1:56" ht="15">
      <c r="A15" s="90" t="s">
        <v>53</v>
      </c>
      <c r="B15" s="85" t="s">
        <v>54</v>
      </c>
      <c r="C15" s="80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9">
        <f>'Seznam OM'!H18</f>
        <v>53.897</v>
      </c>
      <c r="P15" s="80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9">
        <f>'Seznam OM'!I18</f>
        <v>0</v>
      </c>
      <c r="AC15" s="80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117">
        <f>'Seznam OM'!J18</f>
        <v>0</v>
      </c>
      <c r="AP15" s="80">
        <v>4.559</v>
      </c>
      <c r="AQ15" s="73">
        <v>4.135</v>
      </c>
      <c r="AR15" s="73">
        <v>2.762</v>
      </c>
      <c r="AS15" s="73">
        <v>3.119</v>
      </c>
      <c r="AT15" s="73">
        <v>4.266</v>
      </c>
      <c r="AU15" s="73">
        <v>4.877</v>
      </c>
      <c r="AV15" s="73">
        <v>2.185</v>
      </c>
      <c r="AW15" s="73">
        <v>1.557</v>
      </c>
      <c r="AX15" s="73">
        <v>4.291</v>
      </c>
      <c r="AY15" s="73">
        <v>4.503</v>
      </c>
      <c r="AZ15" s="73">
        <v>0</v>
      </c>
      <c r="BA15" s="121">
        <v>0</v>
      </c>
      <c r="BB15" s="126">
        <f t="shared" si="0"/>
        <v>36.254</v>
      </c>
      <c r="BD15" t="e">
        <f>VLOOKUP('Seznam OM'!C18,List1!$T$5:$AG$145,14,FALSE)</f>
        <v>#N/A</v>
      </c>
    </row>
    <row r="16" spans="1:56" ht="15">
      <c r="A16" s="109" t="s">
        <v>56</v>
      </c>
      <c r="B16" s="86" t="s">
        <v>57</v>
      </c>
      <c r="C16" s="80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9">
        <f>'Seznam OM'!H19</f>
        <v>61.186</v>
      </c>
      <c r="P16" s="80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9">
        <f>'Seznam OM'!I19</f>
        <v>0</v>
      </c>
      <c r="AC16" s="80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117">
        <f>'Seznam OM'!J19</f>
        <v>0</v>
      </c>
      <c r="AP16" s="80">
        <v>4.087</v>
      </c>
      <c r="AQ16" s="73">
        <v>4.022</v>
      </c>
      <c r="AR16" s="73">
        <v>4.395</v>
      </c>
      <c r="AS16" s="73">
        <v>4.124</v>
      </c>
      <c r="AT16" s="73">
        <v>4.215</v>
      </c>
      <c r="AU16" s="73">
        <v>4.662</v>
      </c>
      <c r="AV16" s="73">
        <v>4.419</v>
      </c>
      <c r="AW16" s="73">
        <v>4.323</v>
      </c>
      <c r="AX16" s="73">
        <v>3.907</v>
      </c>
      <c r="AY16" s="73">
        <v>4.077</v>
      </c>
      <c r="AZ16" s="73">
        <v>0</v>
      </c>
      <c r="BA16" s="121">
        <v>0</v>
      </c>
      <c r="BB16" s="126">
        <f t="shared" si="0"/>
        <v>42.230999999999995</v>
      </c>
      <c r="BD16">
        <f>VLOOKUP('Seznam OM'!C19,List1!$T$5:$AG$145,14,FALSE)</f>
        <v>59.152</v>
      </c>
    </row>
    <row r="17" spans="1:54" ht="15">
      <c r="A17" s="74" t="s">
        <v>59</v>
      </c>
      <c r="B17" s="85" t="s">
        <v>60</v>
      </c>
      <c r="C17" s="80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9">
        <f>'Seznam OM'!H20</f>
        <v>41.203</v>
      </c>
      <c r="P17" s="80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9">
        <f>'Seznam OM'!I20</f>
        <v>34.022999999999996</v>
      </c>
      <c r="AC17" s="80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117">
        <f>'Seznam OM'!J20</f>
        <v>0</v>
      </c>
      <c r="AP17" s="80">
        <v>3.081</v>
      </c>
      <c r="AQ17" s="73">
        <v>2.4</v>
      </c>
      <c r="AR17" s="73">
        <v>1.608</v>
      </c>
      <c r="AS17" s="73">
        <v>1.147</v>
      </c>
      <c r="AT17" s="73">
        <v>0.253</v>
      </c>
      <c r="AU17" s="73">
        <v>0.825</v>
      </c>
      <c r="AV17" s="73">
        <v>0.773</v>
      </c>
      <c r="AW17" s="73">
        <v>0.395</v>
      </c>
      <c r="AX17" s="73">
        <v>0.356</v>
      </c>
      <c r="AY17" s="73">
        <v>1.206</v>
      </c>
      <c r="AZ17" s="73">
        <v>0</v>
      </c>
      <c r="BA17" s="121">
        <v>0</v>
      </c>
      <c r="BB17" s="126">
        <f t="shared" si="0"/>
        <v>12.043999999999999</v>
      </c>
    </row>
    <row r="18" spans="1:56" ht="15">
      <c r="A18" s="74" t="s">
        <v>62</v>
      </c>
      <c r="B18" s="85" t="s">
        <v>63</v>
      </c>
      <c r="C18" s="80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9">
        <f>'Seznam OM'!H21</f>
        <v>0</v>
      </c>
      <c r="P18" s="80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9">
        <f>'Seznam OM'!I21</f>
        <v>0</v>
      </c>
      <c r="AC18" s="80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117">
        <f>'Seznam OM'!J21</f>
        <v>0</v>
      </c>
      <c r="AP18" s="80">
        <v>2.585</v>
      </c>
      <c r="AQ18" s="73">
        <v>2.34</v>
      </c>
      <c r="AR18" s="73">
        <v>2.044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121">
        <v>0</v>
      </c>
      <c r="BB18" s="126">
        <f t="shared" si="0"/>
        <v>6.968999999999999</v>
      </c>
      <c r="BD18" t="e">
        <f>VLOOKUP('Seznam OM'!C21,List1!$T$5:$AG$145,14,FALSE)</f>
        <v>#N/A</v>
      </c>
    </row>
    <row r="19" spans="1:54" ht="15">
      <c r="A19" s="74" t="s">
        <v>65</v>
      </c>
      <c r="B19" s="85" t="s">
        <v>66</v>
      </c>
      <c r="C19" s="80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9">
        <f>'Seznam OM'!H22</f>
        <v>0</v>
      </c>
      <c r="P19" s="80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9">
        <f>'Seznam OM'!I22</f>
        <v>0</v>
      </c>
      <c r="AC19" s="80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117">
        <f>'Seznam OM'!J22</f>
        <v>0</v>
      </c>
      <c r="AP19" s="80">
        <v>1.9000000000000001</v>
      </c>
      <c r="AQ19" s="73">
        <v>1.72</v>
      </c>
      <c r="AR19" s="73">
        <v>1.825</v>
      </c>
      <c r="AS19" s="73">
        <v>1.3419999999999999</v>
      </c>
      <c r="AT19" s="73">
        <v>1.4620000000000002</v>
      </c>
      <c r="AU19" s="73">
        <v>1.5510000000000002</v>
      </c>
      <c r="AV19" s="73">
        <v>1.004</v>
      </c>
      <c r="AW19" s="73">
        <v>1.02</v>
      </c>
      <c r="AX19" s="73">
        <v>1.0030000000000001</v>
      </c>
      <c r="AY19" s="73">
        <v>0</v>
      </c>
      <c r="AZ19" s="73">
        <v>0</v>
      </c>
      <c r="BA19" s="121">
        <v>0</v>
      </c>
      <c r="BB19" s="126">
        <f t="shared" si="0"/>
        <v>12.827</v>
      </c>
    </row>
    <row r="20" spans="1:56" ht="15">
      <c r="A20" s="74" t="s">
        <v>68</v>
      </c>
      <c r="B20" s="85" t="s">
        <v>69</v>
      </c>
      <c r="C20" s="80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9">
        <f>'Seznam OM'!H23</f>
        <v>0</v>
      </c>
      <c r="P20" s="80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9">
        <f>'Seznam OM'!I23</f>
        <v>0</v>
      </c>
      <c r="AC20" s="80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117">
        <f>'Seznam OM'!J23</f>
        <v>0</v>
      </c>
      <c r="AP20" s="80">
        <v>0</v>
      </c>
      <c r="AQ20" s="73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121">
        <v>0</v>
      </c>
      <c r="BB20" s="126">
        <f t="shared" si="0"/>
        <v>0</v>
      </c>
      <c r="BD20" t="e">
        <f>VLOOKUP('Seznam OM'!C23,List1!$T$5:$AG$145,14,FALSE)</f>
        <v>#N/A</v>
      </c>
    </row>
    <row r="21" spans="1:54" ht="15">
      <c r="A21" s="74" t="s">
        <v>47</v>
      </c>
      <c r="B21" s="85" t="s">
        <v>71</v>
      </c>
      <c r="C21" s="80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9">
        <f>'Seznam OM'!H24</f>
        <v>0</v>
      </c>
      <c r="P21" s="80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9">
        <f>'Seznam OM'!I24</f>
        <v>0</v>
      </c>
      <c r="AC21" s="80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117">
        <f>'Seznam OM'!J24</f>
        <v>39.353</v>
      </c>
      <c r="AP21" s="80">
        <v>6.015</v>
      </c>
      <c r="AQ21" s="73">
        <v>6.502</v>
      </c>
      <c r="AR21" s="73">
        <v>4.7780000000000005</v>
      </c>
      <c r="AS21" s="73">
        <v>3.137</v>
      </c>
      <c r="AT21" s="73">
        <v>2.497</v>
      </c>
      <c r="AU21" s="73">
        <v>1.997</v>
      </c>
      <c r="AV21" s="73">
        <v>2.315</v>
      </c>
      <c r="AW21" s="73">
        <v>2.147</v>
      </c>
      <c r="AX21" s="73">
        <v>2.057</v>
      </c>
      <c r="AY21" s="73">
        <v>2.606</v>
      </c>
      <c r="AZ21" s="73">
        <v>0</v>
      </c>
      <c r="BA21" s="121">
        <v>0</v>
      </c>
      <c r="BB21" s="126">
        <f t="shared" si="0"/>
        <v>34.051</v>
      </c>
    </row>
    <row r="22" spans="1:56" ht="15">
      <c r="A22" s="74" t="s">
        <v>68</v>
      </c>
      <c r="B22" s="85" t="s">
        <v>73</v>
      </c>
      <c r="C22" s="80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9">
        <f>'Seznam OM'!H25</f>
        <v>37.541</v>
      </c>
      <c r="P22" s="80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9">
        <f>'Seznam OM'!I25</f>
        <v>33.945</v>
      </c>
      <c r="AC22" s="80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117">
        <f>'Seznam OM'!J25</f>
        <v>33.83</v>
      </c>
      <c r="AP22" s="80">
        <v>3.685</v>
      </c>
      <c r="AQ22" s="73">
        <v>3.399</v>
      </c>
      <c r="AR22" s="73">
        <v>2.832</v>
      </c>
      <c r="AS22" s="73">
        <v>3.101</v>
      </c>
      <c r="AT22" s="73">
        <v>3.737</v>
      </c>
      <c r="AU22" s="73">
        <v>4.165</v>
      </c>
      <c r="AV22" s="73">
        <v>0.998</v>
      </c>
      <c r="AW22" s="73">
        <v>2.62</v>
      </c>
      <c r="AX22" s="73">
        <v>3.79</v>
      </c>
      <c r="AY22" s="73">
        <v>3.92</v>
      </c>
      <c r="AZ22" s="73">
        <v>0</v>
      </c>
      <c r="BA22" s="121">
        <v>0</v>
      </c>
      <c r="BB22" s="126">
        <f t="shared" si="0"/>
        <v>32.247</v>
      </c>
      <c r="BD22" t="e">
        <f>VLOOKUP('Seznam OM'!C25,List1!$T$5:$AG$145,14,FALSE)</f>
        <v>#N/A</v>
      </c>
    </row>
    <row r="23" spans="1:56" ht="15">
      <c r="A23" s="74" t="s">
        <v>68</v>
      </c>
      <c r="B23" s="85" t="s">
        <v>75</v>
      </c>
      <c r="C23" s="80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9">
        <f>'Seznam OM'!H26</f>
        <v>34.635</v>
      </c>
      <c r="P23" s="80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9">
        <f>'Seznam OM'!I26</f>
        <v>33.445</v>
      </c>
      <c r="AC23" s="80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117">
        <f>'Seznam OM'!J26</f>
        <v>27.03</v>
      </c>
      <c r="AP23" s="80">
        <v>2.616</v>
      </c>
      <c r="AQ23" s="73">
        <v>2.335</v>
      </c>
      <c r="AR23" s="73">
        <v>1.21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121">
        <v>0</v>
      </c>
      <c r="BB23" s="126">
        <f t="shared" si="0"/>
        <v>6.1610000000000005</v>
      </c>
      <c r="BD23" t="e">
        <f>VLOOKUP('Seznam OM'!C26,List1!$T$5:$AG$145,14,FALSE)</f>
        <v>#N/A</v>
      </c>
    </row>
    <row r="24" spans="1:54" ht="15">
      <c r="A24" s="74" t="s">
        <v>65</v>
      </c>
      <c r="B24" s="85" t="s">
        <v>77</v>
      </c>
      <c r="C24" s="80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9">
        <f>'Seznam OM'!H27</f>
        <v>0</v>
      </c>
      <c r="P24" s="80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9">
        <f>'Seznam OM'!I27</f>
        <v>0</v>
      </c>
      <c r="AC24" s="80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117">
        <f>'Seznam OM'!J27</f>
        <v>0</v>
      </c>
      <c r="AP24" s="80">
        <v>1.724</v>
      </c>
      <c r="AQ24" s="73">
        <v>1.561</v>
      </c>
      <c r="AR24" s="73">
        <v>1.657</v>
      </c>
      <c r="AS24" s="73">
        <v>1.861</v>
      </c>
      <c r="AT24" s="73">
        <v>2.099</v>
      </c>
      <c r="AU24" s="73">
        <v>2.315</v>
      </c>
      <c r="AV24" s="73">
        <v>1.3679999999999999</v>
      </c>
      <c r="AW24" s="73">
        <v>1.389</v>
      </c>
      <c r="AX24" s="73">
        <v>1.366</v>
      </c>
      <c r="AY24" s="73">
        <v>0</v>
      </c>
      <c r="AZ24" s="73">
        <v>0</v>
      </c>
      <c r="BA24" s="121">
        <v>0</v>
      </c>
      <c r="BB24" s="126">
        <f t="shared" si="0"/>
        <v>15.34</v>
      </c>
    </row>
    <row r="25" spans="1:56" ht="15">
      <c r="A25" s="74" t="s">
        <v>79</v>
      </c>
      <c r="B25" s="85" t="s">
        <v>80</v>
      </c>
      <c r="C25" s="80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9">
        <f>'Seznam OM'!H28</f>
        <v>0</v>
      </c>
      <c r="P25" s="80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9">
        <f>'Seznam OM'!I28</f>
        <v>0</v>
      </c>
      <c r="AC25" s="80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117">
        <f>'Seznam OM'!J28</f>
        <v>0</v>
      </c>
      <c r="AP25" s="80">
        <v>2.138</v>
      </c>
      <c r="AQ25" s="73">
        <v>1.8</v>
      </c>
      <c r="AR25" s="73">
        <v>0.788</v>
      </c>
      <c r="AS25" s="73">
        <v>1.691</v>
      </c>
      <c r="AT25" s="73">
        <v>2.368</v>
      </c>
      <c r="AU25" s="73">
        <v>2.197</v>
      </c>
      <c r="AV25" s="73">
        <v>0.623</v>
      </c>
      <c r="AW25" s="73">
        <v>1.031</v>
      </c>
      <c r="AX25" s="73">
        <v>2.612</v>
      </c>
      <c r="AY25" s="73">
        <v>2.75</v>
      </c>
      <c r="AZ25" s="73">
        <v>0</v>
      </c>
      <c r="BA25" s="121">
        <v>0</v>
      </c>
      <c r="BB25" s="126">
        <f t="shared" si="0"/>
        <v>17.997999999999998</v>
      </c>
      <c r="BD25" t="e">
        <f>VLOOKUP('Seznam OM'!C28,List1!$T$5:$AG$145,14,FALSE)</f>
        <v>#N/A</v>
      </c>
    </row>
    <row r="26" spans="1:56" ht="15">
      <c r="A26" s="74" t="s">
        <v>82</v>
      </c>
      <c r="B26" s="85" t="s">
        <v>83</v>
      </c>
      <c r="C26" s="80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9">
        <f>'Seznam OM'!H29</f>
        <v>23.679</v>
      </c>
      <c r="P26" s="80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9">
        <f>'Seznam OM'!I29</f>
        <v>0</v>
      </c>
      <c r="AC26" s="80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117">
        <f>'Seznam OM'!J29</f>
        <v>0</v>
      </c>
      <c r="AP26" s="80">
        <v>0.964</v>
      </c>
      <c r="AQ26" s="73">
        <v>0.889</v>
      </c>
      <c r="AR26" s="73">
        <v>0.889</v>
      </c>
      <c r="AS26" s="73">
        <v>1.195</v>
      </c>
      <c r="AT26" s="73">
        <v>1.12</v>
      </c>
      <c r="AU26" s="73">
        <v>2.001</v>
      </c>
      <c r="AV26" s="73">
        <v>1.889</v>
      </c>
      <c r="AW26" s="73">
        <v>1.349</v>
      </c>
      <c r="AX26" s="73">
        <v>1.222</v>
      </c>
      <c r="AY26" s="73">
        <v>1.541</v>
      </c>
      <c r="AZ26" s="73">
        <v>0</v>
      </c>
      <c r="BA26" s="121">
        <v>0</v>
      </c>
      <c r="BB26" s="126">
        <f t="shared" si="0"/>
        <v>13.059</v>
      </c>
      <c r="BD26" t="e">
        <f>VLOOKUP('Seznam OM'!C29,List1!$T$5:$AG$145,14,FALSE)</f>
        <v>#N/A</v>
      </c>
    </row>
    <row r="27" spans="1:56" ht="15">
      <c r="A27" s="74" t="s">
        <v>85</v>
      </c>
      <c r="B27" s="85" t="s">
        <v>86</v>
      </c>
      <c r="C27" s="80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9">
        <f>'Seznam OM'!H30</f>
        <v>20.007</v>
      </c>
      <c r="P27" s="80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9">
        <f>'Seznam OM'!I30</f>
        <v>0</v>
      </c>
      <c r="AC27" s="80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117">
        <f>'Seznam OM'!J30</f>
        <v>0</v>
      </c>
      <c r="AP27" s="80">
        <v>1.623</v>
      </c>
      <c r="AQ27" s="73">
        <v>1.449</v>
      </c>
      <c r="AR27" s="73">
        <v>1.506</v>
      </c>
      <c r="AS27" s="73">
        <v>0.608</v>
      </c>
      <c r="AT27" s="73">
        <v>0</v>
      </c>
      <c r="AU27" s="73">
        <v>0</v>
      </c>
      <c r="AV27" s="73">
        <v>0</v>
      </c>
      <c r="AW27" s="73">
        <v>0</v>
      </c>
      <c r="AX27" s="73">
        <v>0</v>
      </c>
      <c r="AY27" s="73">
        <v>0</v>
      </c>
      <c r="AZ27" s="73">
        <v>0</v>
      </c>
      <c r="BA27" s="121">
        <v>0</v>
      </c>
      <c r="BB27" s="126">
        <f t="shared" si="0"/>
        <v>5.186</v>
      </c>
      <c r="BD27" t="e">
        <f>VLOOKUP('Seznam OM'!C30,List1!$T$5:$AG$145,14,FALSE)</f>
        <v>#N/A</v>
      </c>
    </row>
    <row r="28" spans="1:54" ht="15">
      <c r="A28" s="74" t="s">
        <v>47</v>
      </c>
      <c r="B28" s="85" t="s">
        <v>88</v>
      </c>
      <c r="C28" s="80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9">
        <f>'Seznam OM'!H31</f>
        <v>22.573</v>
      </c>
      <c r="P28" s="80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9">
        <f>'Seznam OM'!I31</f>
        <v>20.928</v>
      </c>
      <c r="AC28" s="80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117">
        <f>'Seznam OM'!J31</f>
        <v>22.863</v>
      </c>
      <c r="AP28" s="80">
        <v>0.8360000000000001</v>
      </c>
      <c r="AQ28" s="73">
        <v>0.47400000000000003</v>
      </c>
      <c r="AR28" s="73">
        <v>0</v>
      </c>
      <c r="AS28" s="73">
        <v>0</v>
      </c>
      <c r="AT28" s="73">
        <v>0</v>
      </c>
      <c r="AU28" s="73">
        <v>0</v>
      </c>
      <c r="AV28" s="73">
        <v>0</v>
      </c>
      <c r="AW28" s="73">
        <v>0</v>
      </c>
      <c r="AX28" s="73">
        <v>0</v>
      </c>
      <c r="AY28" s="73">
        <v>0</v>
      </c>
      <c r="AZ28" s="73">
        <v>0</v>
      </c>
      <c r="BA28" s="121">
        <v>0</v>
      </c>
      <c r="BB28" s="126">
        <f t="shared" si="0"/>
        <v>1.31</v>
      </c>
    </row>
    <row r="29" spans="1:56" ht="15">
      <c r="A29" s="90" t="s">
        <v>53</v>
      </c>
      <c r="B29" s="85" t="s">
        <v>90</v>
      </c>
      <c r="C29" s="80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9">
        <f>'Seznam OM'!H32</f>
        <v>14.102</v>
      </c>
      <c r="P29" s="80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9">
        <f>'Seznam OM'!I32</f>
        <v>0</v>
      </c>
      <c r="AC29" s="80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117">
        <f>'Seznam OM'!J32</f>
        <v>0</v>
      </c>
      <c r="AP29" s="80">
        <v>3.3120000000000003</v>
      </c>
      <c r="AQ29" s="73">
        <v>3.242</v>
      </c>
      <c r="AR29" s="73">
        <v>3.442</v>
      </c>
      <c r="AS29" s="73">
        <v>1.646</v>
      </c>
      <c r="AT29" s="73">
        <v>1.636</v>
      </c>
      <c r="AU29" s="73">
        <v>1.552</v>
      </c>
      <c r="AV29" s="73">
        <v>0.751</v>
      </c>
      <c r="AW29" s="73">
        <v>0.763</v>
      </c>
      <c r="AX29" s="73">
        <v>0.75</v>
      </c>
      <c r="AY29" s="73">
        <v>0</v>
      </c>
      <c r="AZ29" s="73">
        <v>0</v>
      </c>
      <c r="BA29" s="121">
        <v>0</v>
      </c>
      <c r="BB29" s="126">
        <f t="shared" si="0"/>
        <v>17.093999999999998</v>
      </c>
      <c r="BD29" t="e">
        <f>VLOOKUP('Seznam OM'!C32,List1!$T$5:$AG$145,14,FALSE)</f>
        <v>#N/A</v>
      </c>
    </row>
    <row r="30" spans="1:56" ht="15">
      <c r="A30" s="74" t="s">
        <v>92</v>
      </c>
      <c r="B30" s="85" t="s">
        <v>93</v>
      </c>
      <c r="C30" s="80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9">
        <f>'Seznam OM'!H33</f>
        <v>0</v>
      </c>
      <c r="P30" s="80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9">
        <f>'Seznam OM'!I33</f>
        <v>0</v>
      </c>
      <c r="AC30" s="80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117">
        <f>'Seznam OM'!J33</f>
        <v>0</v>
      </c>
      <c r="AP30" s="80">
        <v>0.702</v>
      </c>
      <c r="AQ30" s="73">
        <v>0</v>
      </c>
      <c r="AR30" s="73">
        <v>0</v>
      </c>
      <c r="AS30" s="73">
        <v>0</v>
      </c>
      <c r="AT30" s="73">
        <v>0</v>
      </c>
      <c r="AU30" s="73">
        <v>0</v>
      </c>
      <c r="AV30" s="73">
        <v>0</v>
      </c>
      <c r="AW30" s="73">
        <v>0</v>
      </c>
      <c r="AX30" s="73">
        <v>0</v>
      </c>
      <c r="AY30" s="73">
        <v>0</v>
      </c>
      <c r="AZ30" s="73">
        <v>0</v>
      </c>
      <c r="BA30" s="121">
        <v>0</v>
      </c>
      <c r="BB30" s="126">
        <f t="shared" si="0"/>
        <v>0.702</v>
      </c>
      <c r="BD30" t="e">
        <f>VLOOKUP('Seznam OM'!C33,List1!$T$5:$AG$145,14,FALSE)</f>
        <v>#N/A</v>
      </c>
    </row>
    <row r="31" spans="1:56" ht="15">
      <c r="A31" s="74" t="s">
        <v>95</v>
      </c>
      <c r="B31" s="85" t="s">
        <v>96</v>
      </c>
      <c r="C31" s="80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9">
        <f>'Seznam OM'!H34</f>
        <v>16.292</v>
      </c>
      <c r="P31" s="80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9">
        <f>'Seznam OM'!I34</f>
        <v>0</v>
      </c>
      <c r="AC31" s="80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117">
        <f>'Seznam OM'!J34</f>
        <v>0</v>
      </c>
      <c r="AP31" s="80">
        <v>1.762</v>
      </c>
      <c r="AQ31" s="73">
        <v>1.221</v>
      </c>
      <c r="AR31" s="73">
        <v>0.747</v>
      </c>
      <c r="AS31" s="73">
        <v>1.095</v>
      </c>
      <c r="AT31" s="73">
        <v>1.192</v>
      </c>
      <c r="AU31" s="73">
        <v>1.034</v>
      </c>
      <c r="AV31" s="73">
        <v>0.883</v>
      </c>
      <c r="AW31" s="73">
        <v>0.609</v>
      </c>
      <c r="AX31" s="73">
        <v>1.122</v>
      </c>
      <c r="AY31" s="73">
        <v>1.448</v>
      </c>
      <c r="AZ31" s="73">
        <v>0</v>
      </c>
      <c r="BA31" s="121">
        <v>0</v>
      </c>
      <c r="BB31" s="126">
        <f t="shared" si="0"/>
        <v>11.113</v>
      </c>
      <c r="BD31" t="e">
        <f>VLOOKUP('Seznam OM'!C34,List1!$T$5:$AG$145,14,FALSE)</f>
        <v>#N/A</v>
      </c>
    </row>
    <row r="32" spans="1:54" ht="15">
      <c r="A32" s="90" t="s">
        <v>53</v>
      </c>
      <c r="B32" s="85" t="s">
        <v>98</v>
      </c>
      <c r="C32" s="80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9">
        <f>'Seznam OM'!H35</f>
        <v>13.4</v>
      </c>
      <c r="P32" s="80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9">
        <f>'Seznam OM'!I35</f>
        <v>0</v>
      </c>
      <c r="AC32" s="80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117">
        <f>'Seznam OM'!J35</f>
        <v>0</v>
      </c>
      <c r="AP32" s="80">
        <v>1.7009999999999998</v>
      </c>
      <c r="AQ32" s="73">
        <v>1.2349999999999999</v>
      </c>
      <c r="AR32" s="73">
        <v>1.306</v>
      </c>
      <c r="AS32" s="73">
        <v>1.082</v>
      </c>
      <c r="AT32" s="73">
        <v>1.062</v>
      </c>
      <c r="AU32" s="73">
        <v>1.002</v>
      </c>
      <c r="AV32" s="73">
        <v>0.607</v>
      </c>
      <c r="AW32" s="73">
        <v>0.618</v>
      </c>
      <c r="AX32" s="73">
        <v>0.607</v>
      </c>
      <c r="AY32" s="73">
        <v>0</v>
      </c>
      <c r="AZ32" s="73">
        <v>0</v>
      </c>
      <c r="BA32" s="121">
        <v>0</v>
      </c>
      <c r="BB32" s="126">
        <f t="shared" si="0"/>
        <v>9.219999999999999</v>
      </c>
    </row>
    <row r="33" spans="1:56" ht="15">
      <c r="A33" s="74" t="s">
        <v>65</v>
      </c>
      <c r="B33" s="85" t="s">
        <v>100</v>
      </c>
      <c r="C33" s="80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9">
        <f>'Seznam OM'!H36</f>
        <v>0</v>
      </c>
      <c r="P33" s="80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9">
        <f>'Seznam OM'!I36</f>
        <v>0</v>
      </c>
      <c r="AC33" s="80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117">
        <f>'Seznam OM'!J36</f>
        <v>0</v>
      </c>
      <c r="AP33" s="80">
        <v>0.744</v>
      </c>
      <c r="AQ33" s="73">
        <v>0.674</v>
      </c>
      <c r="AR33" s="73">
        <v>0.715</v>
      </c>
      <c r="AS33" s="73">
        <v>0.793</v>
      </c>
      <c r="AT33" s="73">
        <v>0.876</v>
      </c>
      <c r="AU33" s="73">
        <v>0.942</v>
      </c>
      <c r="AV33" s="73">
        <v>0.701</v>
      </c>
      <c r="AW33" s="73">
        <v>0.712</v>
      </c>
      <c r="AX33" s="73">
        <v>0.7</v>
      </c>
      <c r="AY33" s="73">
        <v>0</v>
      </c>
      <c r="AZ33" s="73">
        <v>0</v>
      </c>
      <c r="BA33" s="121">
        <v>0</v>
      </c>
      <c r="BB33" s="126">
        <f t="shared" si="0"/>
        <v>6.856999999999999</v>
      </c>
      <c r="BD33" t="e">
        <f>VLOOKUP('Seznam OM'!C36,List1!$T$5:$AG$145,14,FALSE)</f>
        <v>#N/A</v>
      </c>
    </row>
    <row r="34" spans="1:54" ht="15">
      <c r="A34" s="74" t="s">
        <v>102</v>
      </c>
      <c r="B34" s="85" t="s">
        <v>103</v>
      </c>
      <c r="C34" s="80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9">
        <f>'Seznam OM'!H37</f>
        <v>29.817</v>
      </c>
      <c r="P34" s="80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9">
        <f>'Seznam OM'!I37</f>
        <v>0</v>
      </c>
      <c r="AC34" s="80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117">
        <f>'Seznam OM'!J37</f>
        <v>0</v>
      </c>
      <c r="AP34" s="80">
        <v>2.6550000000000002</v>
      </c>
      <c r="AQ34" s="73">
        <v>2.466</v>
      </c>
      <c r="AR34" s="73">
        <v>2.6559999999999997</v>
      </c>
      <c r="AS34" s="73">
        <v>2.401</v>
      </c>
      <c r="AT34" s="73">
        <v>2.134</v>
      </c>
      <c r="AU34" s="73">
        <v>1.69</v>
      </c>
      <c r="AV34" s="73">
        <v>1.638</v>
      </c>
      <c r="AW34" s="73">
        <v>1.704</v>
      </c>
      <c r="AX34" s="73">
        <v>1.9449999999999998</v>
      </c>
      <c r="AY34" s="73">
        <v>2.293</v>
      </c>
      <c r="AZ34" s="73">
        <v>0</v>
      </c>
      <c r="BA34" s="121">
        <v>0</v>
      </c>
      <c r="BB34" s="126">
        <f t="shared" si="0"/>
        <v>21.582</v>
      </c>
    </row>
    <row r="35" spans="1:54" ht="15">
      <c r="A35" s="74" t="s">
        <v>105</v>
      </c>
      <c r="B35" s="85" t="s">
        <v>106</v>
      </c>
      <c r="C35" s="80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9">
        <f>'Seznam OM'!H38</f>
        <v>11.383</v>
      </c>
      <c r="P35" s="80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9">
        <f>'Seznam OM'!I38</f>
        <v>13.673000000000002</v>
      </c>
      <c r="AC35" s="80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117">
        <f>'Seznam OM'!J38</f>
        <v>0</v>
      </c>
      <c r="AP35" s="80">
        <v>1.316</v>
      </c>
      <c r="AQ35" s="73">
        <v>1.191</v>
      </c>
      <c r="AR35" s="73">
        <v>0.552</v>
      </c>
      <c r="AS35" s="73">
        <v>0</v>
      </c>
      <c r="AT35" s="73">
        <v>0</v>
      </c>
      <c r="AU35" s="73">
        <v>0</v>
      </c>
      <c r="AV35" s="73">
        <v>0</v>
      </c>
      <c r="AW35" s="73">
        <v>0</v>
      </c>
      <c r="AX35" s="73">
        <v>0</v>
      </c>
      <c r="AY35" s="73">
        <v>0</v>
      </c>
      <c r="AZ35" s="73">
        <v>0</v>
      </c>
      <c r="BA35" s="121">
        <v>0</v>
      </c>
      <c r="BB35" s="126">
        <f t="shared" si="0"/>
        <v>3.059</v>
      </c>
    </row>
    <row r="36" spans="1:56" ht="15">
      <c r="A36" s="74" t="s">
        <v>108</v>
      </c>
      <c r="B36" s="85" t="s">
        <v>109</v>
      </c>
      <c r="C36" s="80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9">
        <f>'Seznam OM'!H39</f>
        <v>0</v>
      </c>
      <c r="P36" s="80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9">
        <f>'Seznam OM'!I39</f>
        <v>0</v>
      </c>
      <c r="AC36" s="80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117">
        <f>'Seznam OM'!J39</f>
        <v>0</v>
      </c>
      <c r="AP36" s="80">
        <v>0.969</v>
      </c>
      <c r="AQ36" s="73">
        <v>0.865</v>
      </c>
      <c r="AR36" s="73">
        <v>0.899</v>
      </c>
      <c r="AS36" s="73">
        <v>0.765</v>
      </c>
      <c r="AT36" s="73">
        <v>0.454</v>
      </c>
      <c r="AU36" s="73">
        <v>0</v>
      </c>
      <c r="AV36" s="73">
        <v>0</v>
      </c>
      <c r="AW36" s="73">
        <v>0</v>
      </c>
      <c r="AX36" s="73">
        <v>0</v>
      </c>
      <c r="AY36" s="73">
        <v>0</v>
      </c>
      <c r="AZ36" s="73">
        <v>0</v>
      </c>
      <c r="BA36" s="121">
        <v>0</v>
      </c>
      <c r="BB36" s="126">
        <f t="shared" si="0"/>
        <v>3.9520000000000004</v>
      </c>
      <c r="BD36">
        <f>VLOOKUP('Seznam OM'!C39,List1!$T$5:$AG$145,14,FALSE)</f>
        <v>10.9</v>
      </c>
    </row>
    <row r="37" spans="1:54" ht="15">
      <c r="A37" s="74" t="s">
        <v>111</v>
      </c>
      <c r="B37" s="85" t="s">
        <v>112</v>
      </c>
      <c r="C37" s="80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9">
        <f>'Seznam OM'!H40</f>
        <v>0</v>
      </c>
      <c r="P37" s="80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9">
        <f>'Seznam OM'!I40</f>
        <v>0</v>
      </c>
      <c r="AC37" s="80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117">
        <f>'Seznam OM'!J40</f>
        <v>0</v>
      </c>
      <c r="AP37" s="80">
        <v>1.37</v>
      </c>
      <c r="AQ37" s="73">
        <v>0.23500000000000001</v>
      </c>
      <c r="AR37" s="73">
        <v>0</v>
      </c>
      <c r="AS37" s="73">
        <v>0</v>
      </c>
      <c r="AT37" s="73">
        <v>0</v>
      </c>
      <c r="AU37" s="73">
        <v>0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  <c r="BA37" s="121">
        <v>0</v>
      </c>
      <c r="BB37" s="126">
        <f t="shared" si="0"/>
        <v>1.6050000000000002</v>
      </c>
    </row>
    <row r="38" spans="1:56" ht="15">
      <c r="A38" s="74" t="s">
        <v>108</v>
      </c>
      <c r="B38" s="85" t="s">
        <v>114</v>
      </c>
      <c r="C38" s="80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9">
        <f>'Seznam OM'!H41</f>
        <v>0</v>
      </c>
      <c r="P38" s="80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9">
        <f>'Seznam OM'!I41</f>
        <v>0</v>
      </c>
      <c r="AC38" s="80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117">
        <f>'Seznam OM'!J41</f>
        <v>0</v>
      </c>
      <c r="AP38" s="80">
        <v>0</v>
      </c>
      <c r="AQ38" s="73">
        <v>0</v>
      </c>
      <c r="AR38" s="73">
        <v>0</v>
      </c>
      <c r="AS38" s="73">
        <v>0</v>
      </c>
      <c r="AT38" s="73">
        <v>0</v>
      </c>
      <c r="AU38" s="73">
        <v>0</v>
      </c>
      <c r="AV38" s="73">
        <v>0</v>
      </c>
      <c r="AW38" s="73">
        <v>0</v>
      </c>
      <c r="AX38" s="73">
        <v>0</v>
      </c>
      <c r="AY38" s="73">
        <v>0</v>
      </c>
      <c r="AZ38" s="73">
        <v>0</v>
      </c>
      <c r="BA38" s="121">
        <v>0</v>
      </c>
      <c r="BB38" s="126">
        <f t="shared" si="0"/>
        <v>0</v>
      </c>
      <c r="BD38">
        <f>VLOOKUP('Seznam OM'!C41,List1!$T$5:$AG$145,14,FALSE)</f>
        <v>8.689395000000001</v>
      </c>
    </row>
    <row r="39" spans="1:56" ht="15">
      <c r="A39" s="74" t="s">
        <v>108</v>
      </c>
      <c r="B39" s="85" t="s">
        <v>116</v>
      </c>
      <c r="C39" s="80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9">
        <f>'Seznam OM'!H42</f>
        <v>0</v>
      </c>
      <c r="P39" s="80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9">
        <f>'Seznam OM'!I42</f>
        <v>0</v>
      </c>
      <c r="AC39" s="80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117">
        <f>'Seznam OM'!J42</f>
        <v>0</v>
      </c>
      <c r="AP39" s="80">
        <v>0.894</v>
      </c>
      <c r="AQ39" s="73">
        <v>0.889</v>
      </c>
      <c r="AR39" s="73">
        <v>1.074</v>
      </c>
      <c r="AS39" s="73">
        <v>0.954</v>
      </c>
      <c r="AT39" s="73">
        <v>0.921</v>
      </c>
      <c r="AU39" s="73">
        <v>1.324</v>
      </c>
      <c r="AV39" s="73">
        <v>1.54</v>
      </c>
      <c r="AW39" s="73">
        <v>1.098</v>
      </c>
      <c r="AX39" s="73">
        <v>1.039</v>
      </c>
      <c r="AY39" s="73">
        <v>1.087</v>
      </c>
      <c r="AZ39" s="73">
        <v>0</v>
      </c>
      <c r="BA39" s="121">
        <v>0</v>
      </c>
      <c r="BB39" s="126">
        <f t="shared" si="0"/>
        <v>10.82</v>
      </c>
      <c r="BD39">
        <f>VLOOKUP('Seznam OM'!C42,List1!$T$5:$AG$145,14,FALSE)</f>
        <v>7.960148</v>
      </c>
    </row>
    <row r="40" spans="1:56" ht="15">
      <c r="A40" s="74" t="s">
        <v>68</v>
      </c>
      <c r="B40" s="85" t="s">
        <v>118</v>
      </c>
      <c r="C40" s="80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9">
        <f>'Seznam OM'!H43</f>
        <v>0</v>
      </c>
      <c r="P40" s="80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9">
        <f>'Seznam OM'!I43</f>
        <v>8.604</v>
      </c>
      <c r="AC40" s="80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117">
        <f>'Seznam OM'!J43</f>
        <v>8.265</v>
      </c>
      <c r="AP40" s="80">
        <v>0.911</v>
      </c>
      <c r="AQ40" s="73">
        <v>0.369</v>
      </c>
      <c r="AR40" s="73">
        <v>0</v>
      </c>
      <c r="AS40" s="73">
        <v>0</v>
      </c>
      <c r="AT40" s="73">
        <v>0</v>
      </c>
      <c r="AU40" s="73">
        <v>0</v>
      </c>
      <c r="AV40" s="73">
        <v>0</v>
      </c>
      <c r="AW40" s="73">
        <v>0</v>
      </c>
      <c r="AX40" s="73">
        <v>0</v>
      </c>
      <c r="AY40" s="73">
        <v>0</v>
      </c>
      <c r="AZ40" s="73">
        <v>0</v>
      </c>
      <c r="BA40" s="121">
        <v>0</v>
      </c>
      <c r="BB40" s="126">
        <f t="shared" si="0"/>
        <v>1.28</v>
      </c>
      <c r="BD40" t="e">
        <f>VLOOKUP('Seznam OM'!C43,List1!$T$5:$AG$145,14,FALSE)</f>
        <v>#N/A</v>
      </c>
    </row>
    <row r="41" spans="1:56" ht="15">
      <c r="A41" s="74" t="s">
        <v>120</v>
      </c>
      <c r="B41" s="85" t="s">
        <v>121</v>
      </c>
      <c r="C41" s="80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9">
        <f>'Seznam OM'!H44</f>
        <v>0</v>
      </c>
      <c r="P41" s="80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9">
        <f>'Seznam OM'!I44</f>
        <v>0</v>
      </c>
      <c r="AC41" s="80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117">
        <f>'Seznam OM'!J44</f>
        <v>0</v>
      </c>
      <c r="AP41" s="80">
        <v>2.803</v>
      </c>
      <c r="AQ41" s="73">
        <v>2.537</v>
      </c>
      <c r="AR41" s="73">
        <v>2.693</v>
      </c>
      <c r="AS41" s="73">
        <v>1.021</v>
      </c>
      <c r="AT41" s="73">
        <v>0</v>
      </c>
      <c r="AU41" s="73">
        <v>0</v>
      </c>
      <c r="AV41" s="73">
        <v>0</v>
      </c>
      <c r="AW41" s="73">
        <v>0</v>
      </c>
      <c r="AX41" s="73">
        <v>0</v>
      </c>
      <c r="AY41" s="73">
        <v>0</v>
      </c>
      <c r="AZ41" s="73">
        <v>0</v>
      </c>
      <c r="BA41" s="121">
        <v>0</v>
      </c>
      <c r="BB41" s="126">
        <f t="shared" si="0"/>
        <v>9.053999999999998</v>
      </c>
      <c r="BD41">
        <f>VLOOKUP('Seznam OM'!C44,List1!$T$5:$AG$145,14,FALSE)</f>
        <v>7.105104</v>
      </c>
    </row>
    <row r="42" spans="1:56" ht="15">
      <c r="A42" s="74" t="s">
        <v>108</v>
      </c>
      <c r="B42" s="85" t="s">
        <v>123</v>
      </c>
      <c r="C42" s="80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9">
        <f>'Seznam OM'!H45</f>
        <v>0</v>
      </c>
      <c r="P42" s="80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9">
        <f>'Seznam OM'!I45</f>
        <v>0</v>
      </c>
      <c r="AC42" s="80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117">
        <f>'Seznam OM'!J45</f>
        <v>0</v>
      </c>
      <c r="AP42" s="80">
        <v>0.524</v>
      </c>
      <c r="AQ42" s="73">
        <v>0.467</v>
      </c>
      <c r="AR42" s="73">
        <v>0.486</v>
      </c>
      <c r="AS42" s="73">
        <v>0.166</v>
      </c>
      <c r="AT42" s="73">
        <v>0</v>
      </c>
      <c r="AU42" s="73">
        <v>0</v>
      </c>
      <c r="AV42" s="73">
        <v>0</v>
      </c>
      <c r="AW42" s="73">
        <v>0</v>
      </c>
      <c r="AX42" s="73">
        <v>0</v>
      </c>
      <c r="AY42" s="73">
        <v>0</v>
      </c>
      <c r="AZ42" s="73">
        <v>0</v>
      </c>
      <c r="BA42" s="121">
        <v>0</v>
      </c>
      <c r="BB42" s="126">
        <f t="shared" si="0"/>
        <v>1.643</v>
      </c>
      <c r="BD42">
        <f>VLOOKUP('Seznam OM'!C45,List1!$T$5:$AG$145,14,FALSE)</f>
        <v>6.858303</v>
      </c>
    </row>
    <row r="43" spans="1:56" ht="15">
      <c r="A43" s="74" t="s">
        <v>108</v>
      </c>
      <c r="B43" s="85" t="s">
        <v>125</v>
      </c>
      <c r="C43" s="80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9">
        <f>'Seznam OM'!H46</f>
        <v>0</v>
      </c>
      <c r="P43" s="80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9">
        <f>'Seznam OM'!I46</f>
        <v>0</v>
      </c>
      <c r="AC43" s="80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117">
        <f>'Seznam OM'!J46</f>
        <v>0</v>
      </c>
      <c r="AP43" s="80">
        <v>0.74</v>
      </c>
      <c r="AQ43" s="73">
        <v>0.3</v>
      </c>
      <c r="AR43" s="73">
        <v>0</v>
      </c>
      <c r="AS43" s="73">
        <v>0</v>
      </c>
      <c r="AT43" s="73">
        <v>0</v>
      </c>
      <c r="AU43" s="73">
        <v>0</v>
      </c>
      <c r="AV43" s="73">
        <v>0</v>
      </c>
      <c r="AW43" s="73">
        <v>0</v>
      </c>
      <c r="AX43" s="73">
        <v>0</v>
      </c>
      <c r="AY43" s="73">
        <v>0</v>
      </c>
      <c r="AZ43" s="73">
        <v>0</v>
      </c>
      <c r="BA43" s="121">
        <v>0</v>
      </c>
      <c r="BB43" s="126">
        <f t="shared" si="0"/>
        <v>1.04</v>
      </c>
      <c r="BD43">
        <f>VLOOKUP('Seznam OM'!C46,List1!$T$5:$AG$145,14,FALSE)</f>
        <v>6.5</v>
      </c>
    </row>
    <row r="44" spans="1:56" ht="15">
      <c r="A44" s="74" t="s">
        <v>108</v>
      </c>
      <c r="B44" s="85" t="s">
        <v>127</v>
      </c>
      <c r="C44" s="80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9">
        <f>'Seznam OM'!H47</f>
        <v>0</v>
      </c>
      <c r="P44" s="80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9">
        <f>'Seznam OM'!I47</f>
        <v>0</v>
      </c>
      <c r="AC44" s="80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117">
        <f>'Seznam OM'!J47</f>
        <v>0</v>
      </c>
      <c r="AP44" s="80">
        <v>0.639</v>
      </c>
      <c r="AQ44" s="73">
        <v>0.579</v>
      </c>
      <c r="AR44" s="73">
        <v>0.614</v>
      </c>
      <c r="AS44" s="73">
        <v>0.345</v>
      </c>
      <c r="AT44" s="73">
        <v>0</v>
      </c>
      <c r="AU44" s="73">
        <v>0</v>
      </c>
      <c r="AV44" s="73">
        <v>0</v>
      </c>
      <c r="AW44" s="73">
        <v>0</v>
      </c>
      <c r="AX44" s="73">
        <v>0</v>
      </c>
      <c r="AY44" s="73">
        <v>0</v>
      </c>
      <c r="AZ44" s="73">
        <v>0</v>
      </c>
      <c r="BA44" s="121">
        <v>0</v>
      </c>
      <c r="BB44" s="126">
        <f t="shared" si="0"/>
        <v>2.1769999999999996</v>
      </c>
      <c r="BD44">
        <f>VLOOKUP('Seznam OM'!C47,List1!$T$5:$AG$145,14,FALSE)</f>
        <v>6.334838</v>
      </c>
    </row>
    <row r="45" spans="1:56" ht="15">
      <c r="A45" s="74" t="s">
        <v>129</v>
      </c>
      <c r="B45" s="85" t="s">
        <v>130</v>
      </c>
      <c r="C45" s="80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9">
        <f>'Seznam OM'!H48</f>
        <v>5.726</v>
      </c>
      <c r="P45" s="80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9">
        <f>'Seznam OM'!I48</f>
        <v>6.385</v>
      </c>
      <c r="AC45" s="80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117">
        <f>'Seznam OM'!J48</f>
        <v>5.45</v>
      </c>
      <c r="AP45" s="80">
        <v>0.478</v>
      </c>
      <c r="AQ45" s="73">
        <v>0.433</v>
      </c>
      <c r="AR45" s="73">
        <v>0.459</v>
      </c>
      <c r="AS45" s="73">
        <v>0.257</v>
      </c>
      <c r="AT45" s="73">
        <v>0</v>
      </c>
      <c r="AU45" s="73">
        <v>0</v>
      </c>
      <c r="AV45" s="73">
        <v>0</v>
      </c>
      <c r="AW45" s="73">
        <v>0</v>
      </c>
      <c r="AX45" s="73">
        <v>0</v>
      </c>
      <c r="AY45" s="73">
        <v>0</v>
      </c>
      <c r="AZ45" s="73">
        <v>0</v>
      </c>
      <c r="BA45" s="121">
        <v>0</v>
      </c>
      <c r="BB45" s="126">
        <f t="shared" si="0"/>
        <v>1.6270000000000002</v>
      </c>
      <c r="BD45" t="e">
        <f>VLOOKUP('Seznam OM'!C48,List1!$T$5:$AG$145,14,FALSE)</f>
        <v>#N/A</v>
      </c>
    </row>
    <row r="46" spans="1:56" ht="15">
      <c r="A46" s="74" t="s">
        <v>132</v>
      </c>
      <c r="B46" s="85" t="s">
        <v>133</v>
      </c>
      <c r="C46" s="80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9">
        <f>'Seznam OM'!H49</f>
        <v>0</v>
      </c>
      <c r="P46" s="80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9">
        <f>'Seznam OM'!I49</f>
        <v>0</v>
      </c>
      <c r="AC46" s="80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117">
        <f>'Seznam OM'!J49</f>
        <v>0</v>
      </c>
      <c r="AP46" s="80">
        <v>0.304</v>
      </c>
      <c r="AQ46" s="73">
        <v>0.33899999999999997</v>
      </c>
      <c r="AR46" s="73">
        <v>0.388</v>
      </c>
      <c r="AS46" s="73">
        <v>0.297</v>
      </c>
      <c r="AT46" s="73">
        <v>0.426</v>
      </c>
      <c r="AU46" s="73">
        <v>0.335</v>
      </c>
      <c r="AV46" s="73">
        <v>0.314</v>
      </c>
      <c r="AW46" s="73">
        <v>0.233</v>
      </c>
      <c r="AX46" s="73">
        <v>0.429</v>
      </c>
      <c r="AY46" s="73">
        <v>0.511</v>
      </c>
      <c r="AZ46" s="73">
        <v>0</v>
      </c>
      <c r="BA46" s="121">
        <v>0</v>
      </c>
      <c r="BB46" s="126">
        <f t="shared" si="0"/>
        <v>3.576</v>
      </c>
      <c r="BD46" t="e">
        <f>VLOOKUP('Seznam OM'!C49,List1!$T$5:$AG$145,14,FALSE)</f>
        <v>#N/A</v>
      </c>
    </row>
    <row r="47" spans="1:56" ht="15">
      <c r="A47" s="74" t="s">
        <v>108</v>
      </c>
      <c r="B47" s="85" t="s">
        <v>135</v>
      </c>
      <c r="C47" s="80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9">
        <f>'Seznam OM'!H50</f>
        <v>0</v>
      </c>
      <c r="P47" s="80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9">
        <f>'Seznam OM'!I50</f>
        <v>0</v>
      </c>
      <c r="AC47" s="80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117">
        <f>'Seznam OM'!J50</f>
        <v>0</v>
      </c>
      <c r="AP47" s="80">
        <v>0.216</v>
      </c>
      <c r="AQ47" s="73">
        <v>0</v>
      </c>
      <c r="AR47" s="73">
        <v>0</v>
      </c>
      <c r="AS47" s="73">
        <v>0</v>
      </c>
      <c r="AT47" s="73">
        <v>0</v>
      </c>
      <c r="AU47" s="73">
        <v>0</v>
      </c>
      <c r="AV47" s="73">
        <v>0</v>
      </c>
      <c r="AW47" s="73">
        <v>0</v>
      </c>
      <c r="AX47" s="73">
        <v>0</v>
      </c>
      <c r="AY47" s="73">
        <v>0</v>
      </c>
      <c r="AZ47" s="73">
        <v>0</v>
      </c>
      <c r="BA47" s="121">
        <v>0</v>
      </c>
      <c r="BB47" s="126">
        <f t="shared" si="0"/>
        <v>0.216</v>
      </c>
      <c r="BD47">
        <f>VLOOKUP('Seznam OM'!C50,List1!$T$5:$AG$145,14,FALSE)</f>
        <v>5.259537</v>
      </c>
    </row>
    <row r="48" spans="1:56" ht="15">
      <c r="A48" s="74" t="s">
        <v>82</v>
      </c>
      <c r="B48" s="85" t="s">
        <v>137</v>
      </c>
      <c r="C48" s="80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9">
        <f>'Seznam OM'!H51</f>
        <v>4.536</v>
      </c>
      <c r="P48" s="80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9">
        <f>'Seznam OM'!I51</f>
        <v>0</v>
      </c>
      <c r="AC48" s="80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117">
        <f>'Seznam OM'!J51</f>
        <v>0</v>
      </c>
      <c r="AP48" s="80">
        <v>0.141</v>
      </c>
      <c r="AQ48" s="73">
        <v>0.102</v>
      </c>
      <c r="AR48" s="73">
        <v>0.105</v>
      </c>
      <c r="AS48" s="73">
        <v>0.122</v>
      </c>
      <c r="AT48" s="73">
        <v>0.242</v>
      </c>
      <c r="AU48" s="73">
        <v>0.284</v>
      </c>
      <c r="AV48" s="73">
        <v>0.081</v>
      </c>
      <c r="AW48" s="73">
        <v>0.097</v>
      </c>
      <c r="AX48" s="73">
        <v>0.257</v>
      </c>
      <c r="AY48" s="73">
        <v>0.282</v>
      </c>
      <c r="AZ48" s="73">
        <v>0</v>
      </c>
      <c r="BA48" s="121">
        <v>0</v>
      </c>
      <c r="BB48" s="126">
        <f t="shared" si="0"/>
        <v>1.713</v>
      </c>
      <c r="BD48" t="e">
        <f>VLOOKUP('Seznam OM'!C51,List1!$T$5:$AG$145,14,FALSE)</f>
        <v>#N/A</v>
      </c>
    </row>
    <row r="49" spans="1:56" ht="15">
      <c r="A49" s="74" t="s">
        <v>108</v>
      </c>
      <c r="B49" s="85" t="s">
        <v>139</v>
      </c>
      <c r="C49" s="80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9">
        <f>'Seznam OM'!H52</f>
        <v>0</v>
      </c>
      <c r="P49" s="80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9">
        <f>'Seznam OM'!I52</f>
        <v>0</v>
      </c>
      <c r="AC49" s="80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117">
        <f>'Seznam OM'!J52</f>
        <v>0</v>
      </c>
      <c r="AP49" s="80">
        <v>0</v>
      </c>
      <c r="AQ49" s="73">
        <v>0</v>
      </c>
      <c r="AR49" s="73">
        <v>0</v>
      </c>
      <c r="AS49" s="73">
        <v>0</v>
      </c>
      <c r="AT49" s="73">
        <v>0</v>
      </c>
      <c r="AU49" s="73">
        <v>0</v>
      </c>
      <c r="AV49" s="73">
        <v>0</v>
      </c>
      <c r="AW49" s="73">
        <v>0</v>
      </c>
      <c r="AX49" s="73">
        <v>0</v>
      </c>
      <c r="AY49" s="73">
        <v>0</v>
      </c>
      <c r="AZ49" s="73">
        <v>0</v>
      </c>
      <c r="BA49" s="121">
        <v>0</v>
      </c>
      <c r="BB49" s="126">
        <f t="shared" si="0"/>
        <v>0</v>
      </c>
      <c r="BD49">
        <f>VLOOKUP('Seznam OM'!C52,List1!$T$5:$AG$145,14,FALSE)</f>
        <v>3.728988</v>
      </c>
    </row>
    <row r="50" spans="1:56" ht="15">
      <c r="A50" s="74" t="s">
        <v>108</v>
      </c>
      <c r="B50" s="85" t="s">
        <v>141</v>
      </c>
      <c r="C50" s="80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9">
        <f>'Seznam OM'!H53</f>
        <v>0</v>
      </c>
      <c r="P50" s="80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9">
        <f>'Seznam OM'!I53</f>
        <v>0</v>
      </c>
      <c r="AC50" s="80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117">
        <f>'Seznam OM'!J53</f>
        <v>0</v>
      </c>
      <c r="AP50" s="80">
        <v>0</v>
      </c>
      <c r="AQ50" s="73">
        <v>0</v>
      </c>
      <c r="AR50" s="73">
        <v>0</v>
      </c>
      <c r="AS50" s="73">
        <v>0</v>
      </c>
      <c r="AT50" s="73">
        <v>0</v>
      </c>
      <c r="AU50" s="73">
        <v>0</v>
      </c>
      <c r="AV50" s="73">
        <v>0</v>
      </c>
      <c r="AW50" s="73">
        <v>0</v>
      </c>
      <c r="AX50" s="73">
        <v>0</v>
      </c>
      <c r="AY50" s="73">
        <v>0</v>
      </c>
      <c r="AZ50" s="73">
        <v>0</v>
      </c>
      <c r="BA50" s="121">
        <v>0</v>
      </c>
      <c r="BB50" s="126">
        <f t="shared" si="0"/>
        <v>0</v>
      </c>
      <c r="BD50">
        <f>VLOOKUP('Seznam OM'!C53,List1!$T$5:$AG$145,14,FALSE)</f>
        <v>3.698989</v>
      </c>
    </row>
    <row r="51" spans="1:56" ht="15">
      <c r="A51" s="74" t="s">
        <v>108</v>
      </c>
      <c r="B51" s="85" t="s">
        <v>143</v>
      </c>
      <c r="C51" s="80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9">
        <f>'Seznam OM'!H54</f>
        <v>0</v>
      </c>
      <c r="P51" s="80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9">
        <f>'Seznam OM'!I54</f>
        <v>0</v>
      </c>
      <c r="AC51" s="80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117">
        <f>'Seznam OM'!J54</f>
        <v>0</v>
      </c>
      <c r="AP51" s="80">
        <v>0.005</v>
      </c>
      <c r="AQ51" s="73">
        <v>0.005</v>
      </c>
      <c r="AR51" s="73">
        <v>0</v>
      </c>
      <c r="AS51" s="73">
        <v>0</v>
      </c>
      <c r="AT51" s="73">
        <v>0</v>
      </c>
      <c r="AU51" s="73">
        <v>0</v>
      </c>
      <c r="AV51" s="73">
        <v>0</v>
      </c>
      <c r="AW51" s="73">
        <v>0</v>
      </c>
      <c r="AX51" s="73">
        <v>0</v>
      </c>
      <c r="AY51" s="73">
        <v>0</v>
      </c>
      <c r="AZ51" s="73">
        <v>0</v>
      </c>
      <c r="BA51" s="121">
        <v>0</v>
      </c>
      <c r="BB51" s="126">
        <f t="shared" si="0"/>
        <v>0.01</v>
      </c>
      <c r="BD51">
        <f>VLOOKUP('Seznam OM'!C54,List1!$T$5:$AG$145,14,FALSE)</f>
        <v>3.3197750000000004</v>
      </c>
    </row>
    <row r="52" spans="1:56" ht="15">
      <c r="A52" s="74" t="s">
        <v>108</v>
      </c>
      <c r="B52" s="85" t="s">
        <v>145</v>
      </c>
      <c r="C52" s="80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9">
        <f>'Seznam OM'!H55</f>
        <v>0</v>
      </c>
      <c r="P52" s="80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9">
        <f>'Seznam OM'!I55</f>
        <v>0</v>
      </c>
      <c r="AC52" s="80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117">
        <f>'Seznam OM'!J55</f>
        <v>0</v>
      </c>
      <c r="AP52" s="80">
        <v>0.978</v>
      </c>
      <c r="AQ52" s="73">
        <v>0.694</v>
      </c>
      <c r="AR52" s="73">
        <v>0</v>
      </c>
      <c r="AS52" s="73">
        <v>0</v>
      </c>
      <c r="AT52" s="73">
        <v>0</v>
      </c>
      <c r="AU52" s="73">
        <v>0</v>
      </c>
      <c r="AV52" s="73">
        <v>0</v>
      </c>
      <c r="AW52" s="73">
        <v>0</v>
      </c>
      <c r="AX52" s="73">
        <v>0</v>
      </c>
      <c r="AY52" s="73">
        <v>0</v>
      </c>
      <c r="AZ52" s="73">
        <v>0</v>
      </c>
      <c r="BA52" s="121">
        <v>0</v>
      </c>
      <c r="BB52" s="126">
        <f t="shared" si="0"/>
        <v>1.672</v>
      </c>
      <c r="BD52">
        <f>VLOOKUP('Seznam OM'!C55,List1!$T$5:$AG$145,14,FALSE)</f>
        <v>3.108053</v>
      </c>
    </row>
    <row r="53" spans="1:56" ht="15">
      <c r="A53" s="74" t="s">
        <v>147</v>
      </c>
      <c r="B53" s="85" t="s">
        <v>148</v>
      </c>
      <c r="C53" s="80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9">
        <f>'Seznam OM'!H56</f>
        <v>3.424</v>
      </c>
      <c r="P53" s="80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9">
        <f>'Seznam OM'!I56</f>
        <v>0</v>
      </c>
      <c r="AC53" s="80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117">
        <f>'Seznam OM'!J56</f>
        <v>0</v>
      </c>
      <c r="AP53" s="80">
        <v>0.235</v>
      </c>
      <c r="AQ53" s="73">
        <v>0.176</v>
      </c>
      <c r="AR53" s="73">
        <v>0</v>
      </c>
      <c r="AS53" s="73">
        <v>0</v>
      </c>
      <c r="AT53" s="73">
        <v>0</v>
      </c>
      <c r="AU53" s="73">
        <v>0</v>
      </c>
      <c r="AV53" s="73">
        <v>0</v>
      </c>
      <c r="AW53" s="73">
        <v>0</v>
      </c>
      <c r="AX53" s="73">
        <v>0</v>
      </c>
      <c r="AY53" s="73">
        <v>0</v>
      </c>
      <c r="AZ53" s="73">
        <v>0</v>
      </c>
      <c r="BA53" s="121">
        <v>0</v>
      </c>
      <c r="BB53" s="126">
        <f t="shared" si="0"/>
        <v>0.411</v>
      </c>
      <c r="BD53" t="e">
        <f>VLOOKUP('Seznam OM'!C56,List1!$T$5:$AG$145,14,FALSE)</f>
        <v>#N/A</v>
      </c>
    </row>
    <row r="54" spans="1:56" ht="15">
      <c r="A54" s="74" t="s">
        <v>108</v>
      </c>
      <c r="B54" s="85" t="s">
        <v>150</v>
      </c>
      <c r="C54" s="80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9">
        <f>'Seznam OM'!H57</f>
        <v>0</v>
      </c>
      <c r="P54" s="80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9">
        <f>'Seznam OM'!I57</f>
        <v>0</v>
      </c>
      <c r="AC54" s="80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117">
        <f>'Seznam OM'!J57</f>
        <v>0</v>
      </c>
      <c r="AP54" s="80">
        <v>0.274</v>
      </c>
      <c r="AQ54" s="73">
        <v>0.248</v>
      </c>
      <c r="AR54" s="73">
        <v>0.263</v>
      </c>
      <c r="AS54" s="73">
        <v>0.1</v>
      </c>
      <c r="AT54" s="73">
        <v>0</v>
      </c>
      <c r="AU54" s="73">
        <v>0</v>
      </c>
      <c r="AV54" s="73">
        <v>0</v>
      </c>
      <c r="AW54" s="73">
        <v>0</v>
      </c>
      <c r="AX54" s="73">
        <v>0</v>
      </c>
      <c r="AY54" s="73">
        <v>0</v>
      </c>
      <c r="AZ54" s="73">
        <v>0</v>
      </c>
      <c r="BA54" s="121">
        <v>0</v>
      </c>
      <c r="BB54" s="126">
        <f t="shared" si="0"/>
        <v>0.885</v>
      </c>
      <c r="BD54">
        <f>VLOOKUP('Seznam OM'!C57,List1!$T$5:$AG$145,14,FALSE)</f>
        <v>1.770426</v>
      </c>
    </row>
    <row r="55" spans="1:56" ht="15">
      <c r="A55" s="74" t="s">
        <v>108</v>
      </c>
      <c r="B55" s="85" t="s">
        <v>152</v>
      </c>
      <c r="C55" s="80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9">
        <f>'Seznam OM'!H58</f>
        <v>0</v>
      </c>
      <c r="P55" s="80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9">
        <f>'Seznam OM'!I58</f>
        <v>0</v>
      </c>
      <c r="AC55" s="80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117">
        <f>'Seznam OM'!J58</f>
        <v>0</v>
      </c>
      <c r="AP55" s="80">
        <v>0.001</v>
      </c>
      <c r="AQ55" s="73">
        <v>0.001</v>
      </c>
      <c r="AR55" s="73">
        <v>0</v>
      </c>
      <c r="AS55" s="73">
        <v>0</v>
      </c>
      <c r="AT55" s="73">
        <v>0</v>
      </c>
      <c r="AU55" s="73">
        <v>0</v>
      </c>
      <c r="AV55" s="73">
        <v>0</v>
      </c>
      <c r="AW55" s="73">
        <v>0</v>
      </c>
      <c r="AX55" s="73">
        <v>0</v>
      </c>
      <c r="AY55" s="73">
        <v>0</v>
      </c>
      <c r="AZ55" s="73">
        <v>0</v>
      </c>
      <c r="BA55" s="121">
        <v>0</v>
      </c>
      <c r="BB55" s="126">
        <f t="shared" si="0"/>
        <v>0.002</v>
      </c>
      <c r="BD55">
        <f>VLOOKUP('Seznam OM'!C58,List1!$T$5:$AG$145,14,FALSE)</f>
        <v>1.729605</v>
      </c>
    </row>
    <row r="56" spans="1:54" ht="15">
      <c r="A56" s="74" t="s">
        <v>132</v>
      </c>
      <c r="B56" s="85" t="s">
        <v>154</v>
      </c>
      <c r="C56" s="80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9">
        <f>'Seznam OM'!H59</f>
        <v>0</v>
      </c>
      <c r="P56" s="80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9">
        <f>'Seznam OM'!I59</f>
        <v>0</v>
      </c>
      <c r="AC56" s="80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117">
        <f>'Seznam OM'!J59</f>
        <v>0</v>
      </c>
      <c r="AP56" s="80">
        <v>0.492</v>
      </c>
      <c r="AQ56" s="73">
        <v>0.445</v>
      </c>
      <c r="AR56" s="73">
        <v>0.415</v>
      </c>
      <c r="AS56" s="73">
        <v>0.505</v>
      </c>
      <c r="AT56" s="73">
        <v>0.729</v>
      </c>
      <c r="AU56" s="73">
        <v>0.751</v>
      </c>
      <c r="AV56" s="73">
        <v>0.621</v>
      </c>
      <c r="AW56" s="73">
        <v>0.496</v>
      </c>
      <c r="AX56" s="73">
        <v>0.824</v>
      </c>
      <c r="AY56" s="73">
        <v>0.798</v>
      </c>
      <c r="AZ56" s="73">
        <v>0</v>
      </c>
      <c r="BA56" s="121">
        <v>0</v>
      </c>
      <c r="BB56" s="126">
        <f t="shared" si="0"/>
        <v>6.0760000000000005</v>
      </c>
    </row>
    <row r="57" spans="1:56" ht="15">
      <c r="A57" s="74" t="s">
        <v>82</v>
      </c>
      <c r="B57" s="85" t="s">
        <v>156</v>
      </c>
      <c r="C57" s="80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9">
        <f>'Seznam OM'!H60</f>
        <v>0</v>
      </c>
      <c r="P57" s="80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9">
        <f>'Seznam OM'!I60</f>
        <v>0</v>
      </c>
      <c r="AC57" s="80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117">
        <f>'Seznam OM'!J60</f>
        <v>0</v>
      </c>
      <c r="AP57" s="80">
        <v>0</v>
      </c>
      <c r="AQ57" s="73">
        <v>0</v>
      </c>
      <c r="AR57" s="73">
        <v>0</v>
      </c>
      <c r="AS57" s="73">
        <v>0</v>
      </c>
      <c r="AT57" s="73">
        <v>0</v>
      </c>
      <c r="AU57" s="73">
        <v>0</v>
      </c>
      <c r="AV57" s="73">
        <v>0</v>
      </c>
      <c r="AW57" s="73">
        <v>0</v>
      </c>
      <c r="AX57" s="73">
        <v>0</v>
      </c>
      <c r="AY57" s="73">
        <v>0</v>
      </c>
      <c r="AZ57" s="73">
        <v>0</v>
      </c>
      <c r="BA57" s="121">
        <v>0</v>
      </c>
      <c r="BB57" s="126">
        <f t="shared" si="0"/>
        <v>0</v>
      </c>
      <c r="BD57" t="e">
        <f>VLOOKUP('Seznam OM'!C60,List1!$T$5:$AG$145,14,FALSE)</f>
        <v>#N/A</v>
      </c>
    </row>
    <row r="58" spans="1:56" ht="15">
      <c r="A58" s="74" t="s">
        <v>108</v>
      </c>
      <c r="B58" s="85" t="s">
        <v>158</v>
      </c>
      <c r="C58" s="80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9">
        <f>'Seznam OM'!H61</f>
        <v>0</v>
      </c>
      <c r="P58" s="80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9">
        <f>'Seznam OM'!I61</f>
        <v>0</v>
      </c>
      <c r="AC58" s="80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117">
        <f>'Seznam OM'!J61</f>
        <v>0</v>
      </c>
      <c r="AP58" s="80">
        <v>0</v>
      </c>
      <c r="AQ58" s="73">
        <v>0</v>
      </c>
      <c r="AR58" s="73">
        <v>0</v>
      </c>
      <c r="AS58" s="73">
        <v>0</v>
      </c>
      <c r="AT58" s="73">
        <v>0</v>
      </c>
      <c r="AU58" s="73">
        <v>0</v>
      </c>
      <c r="AV58" s="73">
        <v>0</v>
      </c>
      <c r="AW58" s="73">
        <v>0</v>
      </c>
      <c r="AX58" s="73">
        <v>0</v>
      </c>
      <c r="AY58" s="73">
        <v>0</v>
      </c>
      <c r="AZ58" s="73">
        <v>0</v>
      </c>
      <c r="BA58" s="121">
        <v>0</v>
      </c>
      <c r="BB58" s="126">
        <f t="shared" si="0"/>
        <v>0</v>
      </c>
      <c r="BD58">
        <f>VLOOKUP('Seznam OM'!C61,List1!$T$5:$AG$145,14,FALSE)</f>
        <v>1.165252</v>
      </c>
    </row>
    <row r="59" spans="1:56" ht="15">
      <c r="A59" s="74" t="s">
        <v>108</v>
      </c>
      <c r="B59" s="85" t="s">
        <v>160</v>
      </c>
      <c r="C59" s="80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9">
        <f>'Seznam OM'!H62</f>
        <v>0</v>
      </c>
      <c r="P59" s="80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9">
        <f>'Seznam OM'!I62</f>
        <v>0</v>
      </c>
      <c r="AC59" s="80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117">
        <f>'Seznam OM'!J62</f>
        <v>0</v>
      </c>
      <c r="AP59" s="80">
        <v>0.508</v>
      </c>
      <c r="AQ59" s="73">
        <v>0.46</v>
      </c>
      <c r="AR59" s="73">
        <v>0.488</v>
      </c>
      <c r="AS59" s="73">
        <v>0.434</v>
      </c>
      <c r="AT59" s="73">
        <v>0.136</v>
      </c>
      <c r="AU59" s="73">
        <v>0</v>
      </c>
      <c r="AV59" s="73">
        <v>0</v>
      </c>
      <c r="AW59" s="73">
        <v>0</v>
      </c>
      <c r="AX59" s="73">
        <v>0</v>
      </c>
      <c r="AY59" s="73">
        <v>0</v>
      </c>
      <c r="AZ59" s="73">
        <v>0</v>
      </c>
      <c r="BA59" s="121">
        <v>0</v>
      </c>
      <c r="BB59" s="126">
        <f t="shared" si="0"/>
        <v>2.026</v>
      </c>
      <c r="BD59">
        <f>VLOOKUP('Seznam OM'!C62,List1!$T$5:$AG$145,14,FALSE)</f>
        <v>0.912076</v>
      </c>
    </row>
    <row r="60" spans="1:56" ht="15">
      <c r="A60" s="74" t="s">
        <v>108</v>
      </c>
      <c r="B60" s="85" t="s">
        <v>162</v>
      </c>
      <c r="C60" s="80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9">
        <f>'Seznam OM'!H63</f>
        <v>0</v>
      </c>
      <c r="P60" s="80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9">
        <f>'Seznam OM'!I63</f>
        <v>0</v>
      </c>
      <c r="AC60" s="80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117">
        <f>'Seznam OM'!J63</f>
        <v>0</v>
      </c>
      <c r="AP60" s="80">
        <v>0.31</v>
      </c>
      <c r="AQ60" s="73">
        <v>0.081</v>
      </c>
      <c r="AR60" s="73">
        <v>0</v>
      </c>
      <c r="AS60" s="73">
        <v>0</v>
      </c>
      <c r="AT60" s="73">
        <v>0</v>
      </c>
      <c r="AU60" s="73">
        <v>0</v>
      </c>
      <c r="AV60" s="73">
        <v>0</v>
      </c>
      <c r="AW60" s="73">
        <v>0</v>
      </c>
      <c r="AX60" s="73">
        <v>0</v>
      </c>
      <c r="AY60" s="73">
        <v>0</v>
      </c>
      <c r="AZ60" s="73">
        <v>0</v>
      </c>
      <c r="BA60" s="121">
        <v>0</v>
      </c>
      <c r="BB60" s="126">
        <f t="shared" si="0"/>
        <v>0.391</v>
      </c>
      <c r="BD60">
        <f>VLOOKUP('Seznam OM'!C63,List1!$T$5:$AG$145,14,FALSE)</f>
        <v>0.888921</v>
      </c>
    </row>
    <row r="61" spans="1:56" ht="15">
      <c r="A61" s="74" t="s">
        <v>108</v>
      </c>
      <c r="B61" s="85" t="s">
        <v>164</v>
      </c>
      <c r="C61" s="80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9">
        <f>'Seznam OM'!H64</f>
        <v>0</v>
      </c>
      <c r="P61" s="80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9">
        <f>'Seznam OM'!I64</f>
        <v>0</v>
      </c>
      <c r="AC61" s="80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117">
        <f>'Seznam OM'!J64</f>
        <v>0</v>
      </c>
      <c r="AP61" s="80">
        <v>0.053</v>
      </c>
      <c r="AQ61" s="73">
        <v>0.048</v>
      </c>
      <c r="AR61" s="73">
        <v>0.02</v>
      </c>
      <c r="AS61" s="73">
        <v>0</v>
      </c>
      <c r="AT61" s="73">
        <v>0</v>
      </c>
      <c r="AU61" s="73">
        <v>0</v>
      </c>
      <c r="AV61" s="73">
        <v>0</v>
      </c>
      <c r="AW61" s="73">
        <v>0</v>
      </c>
      <c r="AX61" s="73">
        <v>0</v>
      </c>
      <c r="AY61" s="73">
        <v>0</v>
      </c>
      <c r="AZ61" s="73">
        <v>0</v>
      </c>
      <c r="BA61" s="121">
        <v>0</v>
      </c>
      <c r="BB61" s="126">
        <f t="shared" si="0"/>
        <v>0.12100000000000001</v>
      </c>
      <c r="BD61">
        <f>VLOOKUP('Seznam OM'!C64,List1!$T$5:$AG$145,14,FALSE)</f>
        <v>0.79036</v>
      </c>
    </row>
    <row r="62" spans="1:56" ht="15">
      <c r="A62" s="74" t="s">
        <v>108</v>
      </c>
      <c r="B62" s="85" t="s">
        <v>166</v>
      </c>
      <c r="C62" s="80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9">
        <f>'Seznam OM'!H65</f>
        <v>0</v>
      </c>
      <c r="P62" s="80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9">
        <f>'Seznam OM'!I65</f>
        <v>0</v>
      </c>
      <c r="AC62" s="80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117">
        <f>'Seznam OM'!J65</f>
        <v>0</v>
      </c>
      <c r="AP62" s="80">
        <v>0</v>
      </c>
      <c r="AQ62" s="73">
        <v>0</v>
      </c>
      <c r="AR62" s="73">
        <v>0</v>
      </c>
      <c r="AS62" s="73">
        <v>0</v>
      </c>
      <c r="AT62" s="73">
        <v>0</v>
      </c>
      <c r="AU62" s="73">
        <v>0.001</v>
      </c>
      <c r="AV62" s="73">
        <v>0.27</v>
      </c>
      <c r="AW62" s="73">
        <v>0.021</v>
      </c>
      <c r="AX62" s="73">
        <v>0.241</v>
      </c>
      <c r="AY62" s="73">
        <v>0.019</v>
      </c>
      <c r="AZ62" s="73">
        <v>0</v>
      </c>
      <c r="BA62" s="121">
        <v>0</v>
      </c>
      <c r="BB62" s="126">
        <f t="shared" si="0"/>
        <v>0.552</v>
      </c>
      <c r="BD62">
        <f>VLOOKUP('Seznam OM'!C65,List1!$T$5:$AG$145,14,FALSE)</f>
        <v>0.596</v>
      </c>
    </row>
    <row r="63" spans="1:56" ht="15">
      <c r="A63" s="74" t="s">
        <v>108</v>
      </c>
      <c r="B63" s="85" t="s">
        <v>168</v>
      </c>
      <c r="C63" s="80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9">
        <f>'Seznam OM'!H66</f>
        <v>0</v>
      </c>
      <c r="P63" s="80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9">
        <f>'Seznam OM'!I66</f>
        <v>0</v>
      </c>
      <c r="AC63" s="80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117">
        <f>'Seznam OM'!J66</f>
        <v>0</v>
      </c>
      <c r="AP63" s="80">
        <v>0</v>
      </c>
      <c r="AQ63" s="73">
        <v>0</v>
      </c>
      <c r="AR63" s="73">
        <v>0</v>
      </c>
      <c r="AS63" s="73">
        <v>0</v>
      </c>
      <c r="AT63" s="73">
        <v>0</v>
      </c>
      <c r="AU63" s="73">
        <v>0</v>
      </c>
      <c r="AV63" s="73">
        <v>0</v>
      </c>
      <c r="AW63" s="73">
        <v>0</v>
      </c>
      <c r="AX63" s="73">
        <v>0</v>
      </c>
      <c r="AY63" s="73">
        <v>0</v>
      </c>
      <c r="AZ63" s="73">
        <v>0</v>
      </c>
      <c r="BA63" s="121">
        <v>0</v>
      </c>
      <c r="BB63" s="126">
        <f t="shared" si="0"/>
        <v>0</v>
      </c>
      <c r="BD63">
        <f>VLOOKUP('Seznam OM'!C66,List1!$T$5:$AG$145,14,FALSE)</f>
        <v>0.399698</v>
      </c>
    </row>
    <row r="64" spans="1:56" ht="15">
      <c r="A64" s="74" t="s">
        <v>108</v>
      </c>
      <c r="B64" s="85" t="s">
        <v>170</v>
      </c>
      <c r="C64" s="80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9">
        <f>'Seznam OM'!H67</f>
        <v>0</v>
      </c>
      <c r="P64" s="80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9">
        <f>'Seznam OM'!I67</f>
        <v>0</v>
      </c>
      <c r="AC64" s="80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117">
        <f>'Seznam OM'!J67</f>
        <v>0</v>
      </c>
      <c r="AP64" s="80">
        <v>0.095</v>
      </c>
      <c r="AQ64" s="73">
        <v>0.086</v>
      </c>
      <c r="AR64" s="73">
        <v>0.091</v>
      </c>
      <c r="AS64" s="73">
        <v>0.05</v>
      </c>
      <c r="AT64" s="73">
        <v>0</v>
      </c>
      <c r="AU64" s="73">
        <v>0</v>
      </c>
      <c r="AV64" s="73">
        <v>0</v>
      </c>
      <c r="AW64" s="73">
        <v>0</v>
      </c>
      <c r="AX64" s="73">
        <v>0</v>
      </c>
      <c r="AY64" s="73">
        <v>0</v>
      </c>
      <c r="AZ64" s="73">
        <v>0</v>
      </c>
      <c r="BA64" s="121">
        <v>0</v>
      </c>
      <c r="BB64" s="126">
        <f t="shared" si="0"/>
        <v>0.322</v>
      </c>
      <c r="BD64">
        <f>VLOOKUP('Seznam OM'!C67,List1!$T$5:$AG$145,14,FALSE)</f>
        <v>0.35894899999999996</v>
      </c>
    </row>
    <row r="65" spans="1:56" ht="15">
      <c r="A65" s="74" t="s">
        <v>108</v>
      </c>
      <c r="B65" s="85" t="s">
        <v>172</v>
      </c>
      <c r="C65" s="80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9">
        <f>'Seznam OM'!H68</f>
        <v>0</v>
      </c>
      <c r="P65" s="80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9">
        <f>'Seznam OM'!I68</f>
        <v>0</v>
      </c>
      <c r="AC65" s="80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117">
        <f>'Seznam OM'!J68</f>
        <v>0</v>
      </c>
      <c r="AP65" s="80">
        <v>0.062</v>
      </c>
      <c r="AQ65" s="73">
        <v>0.038</v>
      </c>
      <c r="AR65" s="73">
        <v>0</v>
      </c>
      <c r="AS65" s="73">
        <v>0</v>
      </c>
      <c r="AT65" s="73">
        <v>0</v>
      </c>
      <c r="AU65" s="73">
        <v>0</v>
      </c>
      <c r="AV65" s="73">
        <v>0</v>
      </c>
      <c r="AW65" s="73">
        <v>0</v>
      </c>
      <c r="AX65" s="73">
        <v>0</v>
      </c>
      <c r="AY65" s="73">
        <v>0</v>
      </c>
      <c r="AZ65" s="73">
        <v>0</v>
      </c>
      <c r="BA65" s="121">
        <v>0</v>
      </c>
      <c r="BB65" s="126">
        <f t="shared" si="0"/>
        <v>0.1</v>
      </c>
      <c r="BD65">
        <f>VLOOKUP('Seznam OM'!C68,List1!$T$5:$AG$145,14,FALSE)</f>
        <v>0.310977</v>
      </c>
    </row>
    <row r="66" spans="1:56" ht="15">
      <c r="A66" s="74" t="s">
        <v>44</v>
      </c>
      <c r="B66" s="87" t="s">
        <v>174</v>
      </c>
      <c r="C66" s="80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9">
        <f>'Seznam OM'!H69</f>
        <v>0</v>
      </c>
      <c r="P66" s="80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9">
        <f>'Seznam OM'!I69</f>
        <v>0</v>
      </c>
      <c r="AC66" s="80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117">
        <f>'Seznam OM'!J69</f>
        <v>0</v>
      </c>
      <c r="AP66" s="80">
        <v>0.019</v>
      </c>
      <c r="AQ66" s="73">
        <v>0.017</v>
      </c>
      <c r="AR66" s="73">
        <v>0.018</v>
      </c>
      <c r="AS66" s="73">
        <v>0.016</v>
      </c>
      <c r="AT66" s="73">
        <v>0.016</v>
      </c>
      <c r="AU66" s="73">
        <v>0</v>
      </c>
      <c r="AV66" s="73">
        <v>0</v>
      </c>
      <c r="AW66" s="73">
        <v>0</v>
      </c>
      <c r="AX66" s="73">
        <v>0</v>
      </c>
      <c r="AY66" s="73">
        <v>0</v>
      </c>
      <c r="AZ66" s="73">
        <v>0</v>
      </c>
      <c r="BA66" s="121">
        <v>0</v>
      </c>
      <c r="BB66" s="126">
        <f t="shared" si="0"/>
        <v>0.08600000000000001</v>
      </c>
      <c r="BD66">
        <f>VLOOKUP('Seznam OM'!C69,List1!$T$5:$AG$145,14,FALSE)</f>
        <v>0.298702</v>
      </c>
    </row>
    <row r="67" spans="1:56" ht="15">
      <c r="A67" s="74" t="s">
        <v>108</v>
      </c>
      <c r="B67" s="85" t="s">
        <v>176</v>
      </c>
      <c r="C67" s="80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9">
        <f>'Seznam OM'!H70</f>
        <v>0</v>
      </c>
      <c r="P67" s="80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9">
        <f>'Seznam OM'!I70</f>
        <v>0</v>
      </c>
      <c r="AC67" s="80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117">
        <f>'Seznam OM'!J70</f>
        <v>0</v>
      </c>
      <c r="AP67" s="80">
        <v>0.488</v>
      </c>
      <c r="AQ67" s="73">
        <v>0.162</v>
      </c>
      <c r="AR67" s="73">
        <v>0</v>
      </c>
      <c r="AS67" s="73">
        <v>0</v>
      </c>
      <c r="AT67" s="73">
        <v>0</v>
      </c>
      <c r="AU67" s="73">
        <v>0</v>
      </c>
      <c r="AV67" s="73">
        <v>0</v>
      </c>
      <c r="AW67" s="73">
        <v>0</v>
      </c>
      <c r="AX67" s="73">
        <v>0</v>
      </c>
      <c r="AY67" s="73">
        <v>0</v>
      </c>
      <c r="AZ67" s="73">
        <v>0</v>
      </c>
      <c r="BA67" s="121">
        <v>0</v>
      </c>
      <c r="BB67" s="126">
        <f t="shared" si="0"/>
        <v>0.65</v>
      </c>
      <c r="BD67">
        <f>VLOOKUP('Seznam OM'!C70,List1!$T$5:$AG$145,14,FALSE)</f>
        <v>0.256</v>
      </c>
    </row>
    <row r="68" spans="1:56" ht="15">
      <c r="A68" s="74" t="s">
        <v>44</v>
      </c>
      <c r="B68" s="87" t="s">
        <v>178</v>
      </c>
      <c r="C68" s="80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9">
        <f>'Seznam OM'!H71</f>
        <v>0</v>
      </c>
      <c r="P68" s="80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9">
        <f>'Seznam OM'!I71</f>
        <v>0</v>
      </c>
      <c r="AC68" s="80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117">
        <f>'Seznam OM'!J71</f>
        <v>0</v>
      </c>
      <c r="AP68" s="80">
        <v>0.118</v>
      </c>
      <c r="AQ68" s="73">
        <v>0.089</v>
      </c>
      <c r="AR68" s="73">
        <v>0</v>
      </c>
      <c r="AS68" s="73">
        <v>0</v>
      </c>
      <c r="AT68" s="73">
        <v>0</v>
      </c>
      <c r="AU68" s="73">
        <v>0</v>
      </c>
      <c r="AV68" s="73">
        <v>0</v>
      </c>
      <c r="AW68" s="73">
        <v>0</v>
      </c>
      <c r="AX68" s="73">
        <v>0</v>
      </c>
      <c r="AY68" s="73">
        <v>0</v>
      </c>
      <c r="AZ68" s="73">
        <v>0</v>
      </c>
      <c r="BA68" s="121">
        <v>0</v>
      </c>
      <c r="BB68" s="126">
        <f t="shared" si="0"/>
        <v>0.207</v>
      </c>
      <c r="BD68">
        <f>VLOOKUP('Seznam OM'!C71,List1!$T$5:$AG$145,14,FALSE)</f>
        <v>0.250873</v>
      </c>
    </row>
    <row r="69" spans="1:56" ht="15">
      <c r="A69" s="74" t="s">
        <v>108</v>
      </c>
      <c r="B69" s="85" t="s">
        <v>180</v>
      </c>
      <c r="C69" s="80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9">
        <f>'Seznam OM'!H72</f>
        <v>0</v>
      </c>
      <c r="P69" s="80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9">
        <f>'Seznam OM'!I72</f>
        <v>0</v>
      </c>
      <c r="AC69" s="80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117">
        <f>'Seznam OM'!J72</f>
        <v>0</v>
      </c>
      <c r="AP69" s="80">
        <v>0.314</v>
      </c>
      <c r="AQ69" s="73">
        <v>0.284</v>
      </c>
      <c r="AR69" s="73">
        <v>0.302</v>
      </c>
      <c r="AS69" s="73">
        <v>0.105</v>
      </c>
      <c r="AT69" s="73">
        <v>0</v>
      </c>
      <c r="AU69" s="73">
        <v>0</v>
      </c>
      <c r="AV69" s="73">
        <v>0</v>
      </c>
      <c r="AW69" s="73">
        <v>0</v>
      </c>
      <c r="AX69" s="73">
        <v>0</v>
      </c>
      <c r="AY69" s="73">
        <v>0</v>
      </c>
      <c r="AZ69" s="73">
        <v>0</v>
      </c>
      <c r="BA69" s="121">
        <v>0</v>
      </c>
      <c r="BB69" s="126">
        <f aca="true" t="shared" si="1" ref="BB69:BB95">SUM(AP69:BA69)</f>
        <v>1.005</v>
      </c>
      <c r="BD69">
        <f>VLOOKUP('Seznam OM'!C72,List1!$T$5:$AG$145,14,FALSE)</f>
        <v>0.216492</v>
      </c>
    </row>
    <row r="70" spans="1:56" ht="15">
      <c r="A70" s="74" t="s">
        <v>108</v>
      </c>
      <c r="B70" s="85" t="s">
        <v>182</v>
      </c>
      <c r="C70" s="80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9">
        <f>'Seznam OM'!H73</f>
        <v>0</v>
      </c>
      <c r="P70" s="80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9">
        <f>'Seznam OM'!I73</f>
        <v>0</v>
      </c>
      <c r="AC70" s="80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117">
        <f>'Seznam OM'!J73</f>
        <v>0</v>
      </c>
      <c r="AP70" s="80">
        <v>0.297</v>
      </c>
      <c r="AQ70" s="73">
        <v>0.269</v>
      </c>
      <c r="AR70" s="73">
        <v>0.021</v>
      </c>
      <c r="AS70" s="73">
        <v>0</v>
      </c>
      <c r="AT70" s="73">
        <v>0</v>
      </c>
      <c r="AU70" s="73">
        <v>0</v>
      </c>
      <c r="AV70" s="73">
        <v>0</v>
      </c>
      <c r="AW70" s="73">
        <v>0</v>
      </c>
      <c r="AX70" s="73">
        <v>0</v>
      </c>
      <c r="AY70" s="73">
        <v>0</v>
      </c>
      <c r="AZ70" s="73">
        <v>0</v>
      </c>
      <c r="BA70" s="121">
        <v>0</v>
      </c>
      <c r="BB70" s="126">
        <f t="shared" si="1"/>
        <v>0.5870000000000001</v>
      </c>
      <c r="BD70">
        <f>VLOOKUP('Seznam OM'!C73,List1!$T$5:$AG$145,14,FALSE)</f>
        <v>0.197354</v>
      </c>
    </row>
    <row r="71" spans="1:56" ht="15">
      <c r="A71" s="74" t="s">
        <v>108</v>
      </c>
      <c r="B71" s="85" t="s">
        <v>184</v>
      </c>
      <c r="C71" s="80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9">
        <f>'Seznam OM'!H74</f>
        <v>0</v>
      </c>
      <c r="P71" s="80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9">
        <f>'Seznam OM'!I74</f>
        <v>0</v>
      </c>
      <c r="AC71" s="80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117">
        <f>'Seznam OM'!J74</f>
        <v>0</v>
      </c>
      <c r="AP71" s="80">
        <v>0</v>
      </c>
      <c r="AQ71" s="73">
        <v>0</v>
      </c>
      <c r="AR71" s="73">
        <v>0</v>
      </c>
      <c r="AS71" s="73">
        <v>0</v>
      </c>
      <c r="AT71" s="73">
        <v>0</v>
      </c>
      <c r="AU71" s="73">
        <v>0</v>
      </c>
      <c r="AV71" s="73">
        <v>0</v>
      </c>
      <c r="AW71" s="73">
        <v>0</v>
      </c>
      <c r="AX71" s="73">
        <v>0</v>
      </c>
      <c r="AY71" s="73">
        <v>0</v>
      </c>
      <c r="AZ71" s="73">
        <v>0</v>
      </c>
      <c r="BA71" s="121">
        <v>0</v>
      </c>
      <c r="BB71" s="126">
        <f t="shared" si="1"/>
        <v>0</v>
      </c>
      <c r="BD71">
        <f>VLOOKUP('Seznam OM'!C74,List1!$T$5:$AG$145,14,FALSE)</f>
        <v>0.187998</v>
      </c>
    </row>
    <row r="72" spans="1:56" ht="15">
      <c r="A72" s="74" t="s">
        <v>108</v>
      </c>
      <c r="B72" s="85" t="s">
        <v>186</v>
      </c>
      <c r="C72" s="80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9">
        <f>'Seznam OM'!H75</f>
        <v>0</v>
      </c>
      <c r="P72" s="80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9">
        <f>'Seznam OM'!I75</f>
        <v>0</v>
      </c>
      <c r="AC72" s="80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117">
        <f>'Seznam OM'!J75</f>
        <v>0</v>
      </c>
      <c r="AP72" s="80">
        <v>0</v>
      </c>
      <c r="AQ72" s="73">
        <v>0</v>
      </c>
      <c r="AR72" s="73">
        <v>0</v>
      </c>
      <c r="AS72" s="73">
        <v>0</v>
      </c>
      <c r="AT72" s="73">
        <v>0</v>
      </c>
      <c r="AU72" s="73">
        <v>0</v>
      </c>
      <c r="AV72" s="73">
        <v>0</v>
      </c>
      <c r="AW72" s="73">
        <v>0</v>
      </c>
      <c r="AX72" s="73">
        <v>0</v>
      </c>
      <c r="AY72" s="73">
        <v>0</v>
      </c>
      <c r="AZ72" s="73">
        <v>0</v>
      </c>
      <c r="BA72" s="121">
        <v>0</v>
      </c>
      <c r="BB72" s="126">
        <f t="shared" si="1"/>
        <v>0</v>
      </c>
      <c r="BD72">
        <f>VLOOKUP('Seznam OM'!C75,List1!$T$5:$AG$145,14,FALSE)</f>
        <v>0.179</v>
      </c>
    </row>
    <row r="73" spans="1:56" ht="15">
      <c r="A73" s="74" t="s">
        <v>44</v>
      </c>
      <c r="B73" s="87" t="s">
        <v>188</v>
      </c>
      <c r="C73" s="80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9">
        <f>'Seznam OM'!H76</f>
        <v>0</v>
      </c>
      <c r="P73" s="80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9">
        <f>'Seznam OM'!I76</f>
        <v>0</v>
      </c>
      <c r="AC73" s="80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117">
        <f>'Seznam OM'!J76</f>
        <v>0</v>
      </c>
      <c r="AP73" s="80">
        <v>0.016</v>
      </c>
      <c r="AQ73" s="73">
        <v>0.015</v>
      </c>
      <c r="AR73" s="73">
        <v>0.016</v>
      </c>
      <c r="AS73" s="73">
        <v>0.006</v>
      </c>
      <c r="AT73" s="73">
        <v>0</v>
      </c>
      <c r="AU73" s="73">
        <v>0</v>
      </c>
      <c r="AV73" s="73">
        <v>0</v>
      </c>
      <c r="AW73" s="73">
        <v>0</v>
      </c>
      <c r="AX73" s="73">
        <v>0</v>
      </c>
      <c r="AY73" s="73">
        <v>0</v>
      </c>
      <c r="AZ73" s="73">
        <v>0</v>
      </c>
      <c r="BA73" s="121">
        <v>0</v>
      </c>
      <c r="BB73" s="126">
        <f t="shared" si="1"/>
        <v>0.053</v>
      </c>
      <c r="BD73">
        <f>VLOOKUP('Seznam OM'!C76,List1!$T$5:$AG$145,14,FALSE)</f>
        <v>0.176169</v>
      </c>
    </row>
    <row r="74" spans="1:56" ht="15">
      <c r="A74" s="74" t="s">
        <v>44</v>
      </c>
      <c r="B74" s="87" t="s">
        <v>190</v>
      </c>
      <c r="C74" s="80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9">
        <f>'Seznam OM'!H77</f>
        <v>0</v>
      </c>
      <c r="P74" s="80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9">
        <f>'Seznam OM'!I77</f>
        <v>0</v>
      </c>
      <c r="AC74" s="80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117">
        <f>'Seznam OM'!J77</f>
        <v>0</v>
      </c>
      <c r="AP74" s="80">
        <v>0.009</v>
      </c>
      <c r="AQ74" s="73">
        <v>0.008</v>
      </c>
      <c r="AR74" s="73">
        <v>0.009</v>
      </c>
      <c r="AS74" s="73">
        <v>0.008</v>
      </c>
      <c r="AT74" s="73">
        <v>0.008</v>
      </c>
      <c r="AU74" s="73">
        <v>0.001</v>
      </c>
      <c r="AV74" s="73">
        <v>0</v>
      </c>
      <c r="AW74" s="73">
        <v>0</v>
      </c>
      <c r="AX74" s="73">
        <v>0</v>
      </c>
      <c r="AY74" s="73">
        <v>0</v>
      </c>
      <c r="AZ74" s="73">
        <v>0</v>
      </c>
      <c r="BA74" s="121">
        <v>0</v>
      </c>
      <c r="BB74" s="126">
        <f t="shared" si="1"/>
        <v>0.043000000000000003</v>
      </c>
      <c r="BD74">
        <f>VLOOKUP('Seznam OM'!C77,List1!$T$5:$AG$145,14,FALSE)</f>
        <v>0.16937</v>
      </c>
    </row>
    <row r="75" spans="1:56" ht="15">
      <c r="A75" s="74" t="s">
        <v>108</v>
      </c>
      <c r="B75" s="85" t="s">
        <v>192</v>
      </c>
      <c r="C75" s="80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9">
        <f>'Seznam OM'!H78</f>
        <v>0</v>
      </c>
      <c r="P75" s="80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9">
        <f>'Seznam OM'!I78</f>
        <v>0</v>
      </c>
      <c r="AC75" s="80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117">
        <f>'Seznam OM'!J78</f>
        <v>0</v>
      </c>
      <c r="AP75" s="80">
        <v>0.14</v>
      </c>
      <c r="AQ75" s="73">
        <v>0.127</v>
      </c>
      <c r="AR75" s="73">
        <v>0.01</v>
      </c>
      <c r="AS75" s="73">
        <v>0</v>
      </c>
      <c r="AT75" s="73">
        <v>0</v>
      </c>
      <c r="AU75" s="73">
        <v>0</v>
      </c>
      <c r="AV75" s="73">
        <v>0</v>
      </c>
      <c r="AW75" s="73">
        <v>0</v>
      </c>
      <c r="AX75" s="73">
        <v>0</v>
      </c>
      <c r="AY75" s="73">
        <v>0</v>
      </c>
      <c r="AZ75" s="73">
        <v>0</v>
      </c>
      <c r="BA75" s="121">
        <v>0</v>
      </c>
      <c r="BB75" s="126">
        <f t="shared" si="1"/>
        <v>0.277</v>
      </c>
      <c r="BD75">
        <f>VLOOKUP('Seznam OM'!C78,List1!$T$5:$AG$145,14,FALSE)</f>
        <v>0.16916</v>
      </c>
    </row>
    <row r="76" spans="1:56" ht="15">
      <c r="A76" s="74" t="s">
        <v>44</v>
      </c>
      <c r="B76" s="87" t="s">
        <v>194</v>
      </c>
      <c r="C76" s="80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9">
        <f>'Seznam OM'!H79</f>
        <v>0</v>
      </c>
      <c r="P76" s="80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9">
        <f>'Seznam OM'!I79</f>
        <v>0</v>
      </c>
      <c r="AC76" s="80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117">
        <f>'Seznam OM'!J79</f>
        <v>0</v>
      </c>
      <c r="AP76" s="80">
        <v>0.015</v>
      </c>
      <c r="AQ76" s="73">
        <v>0.014</v>
      </c>
      <c r="AR76" s="73">
        <v>0.014</v>
      </c>
      <c r="AS76" s="73">
        <v>0.013</v>
      </c>
      <c r="AT76" s="73">
        <v>0.005</v>
      </c>
      <c r="AU76" s="73">
        <v>0</v>
      </c>
      <c r="AV76" s="73">
        <v>0</v>
      </c>
      <c r="AW76" s="73">
        <v>0</v>
      </c>
      <c r="AX76" s="73">
        <v>0</v>
      </c>
      <c r="AY76" s="73">
        <v>0</v>
      </c>
      <c r="AZ76" s="73">
        <v>0</v>
      </c>
      <c r="BA76" s="121">
        <v>0</v>
      </c>
      <c r="BB76" s="126">
        <f t="shared" si="1"/>
        <v>0.06099999999999999</v>
      </c>
      <c r="BD76">
        <f>VLOOKUP('Seznam OM'!C79,List1!$T$5:$AG$145,14,FALSE)</f>
        <v>0.167988</v>
      </c>
    </row>
    <row r="77" spans="1:56" ht="15">
      <c r="A77" s="74" t="s">
        <v>44</v>
      </c>
      <c r="B77" s="87" t="s">
        <v>196</v>
      </c>
      <c r="C77" s="80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9">
        <f>'Seznam OM'!H80</f>
        <v>0</v>
      </c>
      <c r="P77" s="80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9">
        <f>'Seznam OM'!I80</f>
        <v>0</v>
      </c>
      <c r="AC77" s="80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117">
        <f>'Seznam OM'!J80</f>
        <v>0</v>
      </c>
      <c r="AP77" s="80">
        <v>0.01</v>
      </c>
      <c r="AQ77" s="73">
        <v>0.009</v>
      </c>
      <c r="AR77" s="73">
        <v>0.01</v>
      </c>
      <c r="AS77" s="73">
        <v>0.009</v>
      </c>
      <c r="AT77" s="73">
        <v>0.009</v>
      </c>
      <c r="AU77" s="73">
        <v>0</v>
      </c>
      <c r="AV77" s="73">
        <v>0</v>
      </c>
      <c r="AW77" s="73">
        <v>0</v>
      </c>
      <c r="AX77" s="73">
        <v>0</v>
      </c>
      <c r="AY77" s="73">
        <v>0</v>
      </c>
      <c r="AZ77" s="73">
        <v>0</v>
      </c>
      <c r="BA77" s="121">
        <v>0</v>
      </c>
      <c r="BB77" s="126">
        <f t="shared" si="1"/>
        <v>0.047</v>
      </c>
      <c r="BD77">
        <f>VLOOKUP('Seznam OM'!C80,List1!$T$5:$AG$145,14,FALSE)</f>
        <v>0.164434</v>
      </c>
    </row>
    <row r="78" spans="1:56" ht="15">
      <c r="A78" s="74" t="s">
        <v>44</v>
      </c>
      <c r="B78" s="87" t="s">
        <v>198</v>
      </c>
      <c r="C78" s="80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9">
        <f>'Seznam OM'!H81</f>
        <v>0</v>
      </c>
      <c r="P78" s="80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9">
        <f>'Seznam OM'!I81</f>
        <v>0</v>
      </c>
      <c r="AC78" s="80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117">
        <f>'Seznam OM'!J81</f>
        <v>0</v>
      </c>
      <c r="AP78" s="80">
        <v>0.014</v>
      </c>
      <c r="AQ78" s="73">
        <v>0.013</v>
      </c>
      <c r="AR78" s="73">
        <v>0.012</v>
      </c>
      <c r="AS78" s="73">
        <v>0</v>
      </c>
      <c r="AT78" s="73">
        <v>0</v>
      </c>
      <c r="AU78" s="73">
        <v>0</v>
      </c>
      <c r="AV78" s="73">
        <v>0</v>
      </c>
      <c r="AW78" s="73">
        <v>0</v>
      </c>
      <c r="AX78" s="73">
        <v>0</v>
      </c>
      <c r="AY78" s="73">
        <v>0</v>
      </c>
      <c r="AZ78" s="73">
        <v>0</v>
      </c>
      <c r="BA78" s="121">
        <v>0</v>
      </c>
      <c r="BB78" s="126">
        <f t="shared" si="1"/>
        <v>0.039</v>
      </c>
      <c r="BD78">
        <f>VLOOKUP('Seznam OM'!C81,List1!$T$5:$AG$145,14,FALSE)</f>
        <v>0.16383</v>
      </c>
    </row>
    <row r="79" spans="1:56" ht="15">
      <c r="A79" s="74" t="s">
        <v>44</v>
      </c>
      <c r="B79" s="87" t="s">
        <v>200</v>
      </c>
      <c r="C79" s="80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9">
        <f>'Seznam OM'!H82</f>
        <v>0</v>
      </c>
      <c r="P79" s="80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9">
        <f>'Seznam OM'!I82</f>
        <v>0</v>
      </c>
      <c r="AC79" s="80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117">
        <f>'Seznam OM'!J82</f>
        <v>0</v>
      </c>
      <c r="AP79" s="80">
        <v>0.015</v>
      </c>
      <c r="AQ79" s="73">
        <v>0.001</v>
      </c>
      <c r="AR79" s="73">
        <v>0</v>
      </c>
      <c r="AS79" s="73">
        <v>0</v>
      </c>
      <c r="AT79" s="73">
        <v>0</v>
      </c>
      <c r="AU79" s="73">
        <v>0</v>
      </c>
      <c r="AV79" s="73">
        <v>0</v>
      </c>
      <c r="AW79" s="73">
        <v>0</v>
      </c>
      <c r="AX79" s="73">
        <v>0</v>
      </c>
      <c r="AY79" s="73">
        <v>0</v>
      </c>
      <c r="AZ79" s="73">
        <v>0</v>
      </c>
      <c r="BA79" s="121">
        <v>0</v>
      </c>
      <c r="BB79" s="126">
        <f t="shared" si="1"/>
        <v>0.016</v>
      </c>
      <c r="BD79">
        <f>VLOOKUP('Seznam OM'!C82,List1!$T$5:$AG$145,14,FALSE)</f>
        <v>0.15649</v>
      </c>
    </row>
    <row r="80" spans="1:56" ht="15">
      <c r="A80" s="74" t="s">
        <v>44</v>
      </c>
      <c r="B80" s="87" t="s">
        <v>202</v>
      </c>
      <c r="C80" s="80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9">
        <f>'Seznam OM'!H83</f>
        <v>0</v>
      </c>
      <c r="P80" s="80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9">
        <f>'Seznam OM'!I83</f>
        <v>0</v>
      </c>
      <c r="AC80" s="80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117">
        <f>'Seznam OM'!J83</f>
        <v>0</v>
      </c>
      <c r="AP80" s="80">
        <v>0.013</v>
      </c>
      <c r="AQ80" s="73">
        <v>0.012</v>
      </c>
      <c r="AR80" s="73">
        <v>0.013</v>
      </c>
      <c r="AS80" s="73">
        <v>0.002</v>
      </c>
      <c r="AT80" s="73">
        <v>0</v>
      </c>
      <c r="AU80" s="73">
        <v>0</v>
      </c>
      <c r="AV80" s="73">
        <v>0</v>
      </c>
      <c r="AW80" s="73">
        <v>0</v>
      </c>
      <c r="AX80" s="73">
        <v>0</v>
      </c>
      <c r="AY80" s="73">
        <v>0</v>
      </c>
      <c r="AZ80" s="73">
        <v>0</v>
      </c>
      <c r="BA80" s="121">
        <v>0</v>
      </c>
      <c r="BB80" s="126">
        <f t="shared" si="1"/>
        <v>0.04</v>
      </c>
      <c r="BD80">
        <f>VLOOKUP('Seznam OM'!C83,List1!$T$5:$AG$145,14,FALSE)</f>
        <v>0.149165</v>
      </c>
    </row>
    <row r="81" spans="1:56" ht="15">
      <c r="A81" s="74" t="s">
        <v>108</v>
      </c>
      <c r="B81" s="85" t="s">
        <v>204</v>
      </c>
      <c r="C81" s="80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9">
        <f>'Seznam OM'!H84</f>
        <v>0</v>
      </c>
      <c r="P81" s="80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9">
        <f>'Seznam OM'!I84</f>
        <v>0</v>
      </c>
      <c r="AC81" s="80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117">
        <f>'Seznam OM'!J84</f>
        <v>0</v>
      </c>
      <c r="AP81" s="80">
        <v>0.072</v>
      </c>
      <c r="AQ81" s="73">
        <v>0.065</v>
      </c>
      <c r="AR81" s="73">
        <v>0.056</v>
      </c>
      <c r="AS81" s="73">
        <v>0</v>
      </c>
      <c r="AT81" s="73">
        <v>0</v>
      </c>
      <c r="AU81" s="73">
        <v>0</v>
      </c>
      <c r="AV81" s="73">
        <v>0</v>
      </c>
      <c r="AW81" s="73">
        <v>0</v>
      </c>
      <c r="AX81" s="73">
        <v>0</v>
      </c>
      <c r="AY81" s="73">
        <v>0</v>
      </c>
      <c r="AZ81" s="73">
        <v>0</v>
      </c>
      <c r="BA81" s="121">
        <v>0</v>
      </c>
      <c r="BB81" s="126">
        <f t="shared" si="1"/>
        <v>0.193</v>
      </c>
      <c r="BD81">
        <f>VLOOKUP('Seznam OM'!C84,List1!$T$5:$AG$145,14,FALSE)</f>
        <v>0.124716</v>
      </c>
    </row>
    <row r="82" spans="1:56" ht="15">
      <c r="A82" s="74" t="s">
        <v>108</v>
      </c>
      <c r="B82" s="85" t="s">
        <v>206</v>
      </c>
      <c r="C82" s="80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9">
        <f>'Seznam OM'!H85</f>
        <v>0</v>
      </c>
      <c r="P82" s="80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9">
        <f>'Seznam OM'!I85</f>
        <v>0</v>
      </c>
      <c r="AC82" s="80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117">
        <f>'Seznam OM'!J85</f>
        <v>0</v>
      </c>
      <c r="AP82" s="80">
        <v>0</v>
      </c>
      <c r="AQ82" s="73">
        <v>0</v>
      </c>
      <c r="AR82" s="73">
        <v>0</v>
      </c>
      <c r="AS82" s="73">
        <v>0</v>
      </c>
      <c r="AT82" s="73">
        <v>0</v>
      </c>
      <c r="AU82" s="73">
        <v>0</v>
      </c>
      <c r="AV82" s="73">
        <v>0</v>
      </c>
      <c r="AW82" s="73">
        <v>0</v>
      </c>
      <c r="AX82" s="73">
        <v>0</v>
      </c>
      <c r="AY82" s="73">
        <v>0</v>
      </c>
      <c r="AZ82" s="73">
        <v>0</v>
      </c>
      <c r="BA82" s="121">
        <v>0</v>
      </c>
      <c r="BB82" s="126">
        <f t="shared" si="1"/>
        <v>0</v>
      </c>
      <c r="BD82" t="e">
        <f>VLOOKUP('Seznam OM'!C85,List1!$T$5:$AG$145,14,FALSE)</f>
        <v>#N/A</v>
      </c>
    </row>
    <row r="83" spans="1:56" ht="15">
      <c r="A83" s="74" t="s">
        <v>108</v>
      </c>
      <c r="B83" s="85" t="s">
        <v>208</v>
      </c>
      <c r="C83" s="80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9">
        <f>'Seznam OM'!H86</f>
        <v>0</v>
      </c>
      <c r="P83" s="80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9">
        <f>'Seznam OM'!I86</f>
        <v>0</v>
      </c>
      <c r="AC83" s="80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117">
        <f>'Seznam OM'!J86</f>
        <v>0</v>
      </c>
      <c r="AP83" s="80">
        <v>0.025</v>
      </c>
      <c r="AQ83" s="73">
        <v>0.023</v>
      </c>
      <c r="AR83" s="73">
        <v>0.024</v>
      </c>
      <c r="AS83" s="73">
        <v>0.008</v>
      </c>
      <c r="AT83" s="73">
        <v>0</v>
      </c>
      <c r="AU83" s="73">
        <v>0</v>
      </c>
      <c r="AV83" s="73">
        <v>0</v>
      </c>
      <c r="AW83" s="73">
        <v>0</v>
      </c>
      <c r="AX83" s="73">
        <v>0</v>
      </c>
      <c r="AY83" s="73">
        <v>0</v>
      </c>
      <c r="AZ83" s="73">
        <v>0</v>
      </c>
      <c r="BA83" s="121">
        <v>0</v>
      </c>
      <c r="BB83" s="126">
        <f t="shared" si="1"/>
        <v>0.08000000000000002</v>
      </c>
      <c r="BD83">
        <f>VLOOKUP('Seznam OM'!C86,List1!$T$5:$AG$145,14,FALSE)</f>
        <v>0.081106</v>
      </c>
    </row>
    <row r="84" spans="1:56" ht="15">
      <c r="A84" s="74" t="s">
        <v>108</v>
      </c>
      <c r="B84" s="85" t="s">
        <v>210</v>
      </c>
      <c r="C84" s="80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9">
        <f>'Seznam OM'!H87</f>
        <v>0</v>
      </c>
      <c r="P84" s="80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9">
        <f>'Seznam OM'!I87</f>
        <v>0</v>
      </c>
      <c r="AC84" s="80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117">
        <f>'Seznam OM'!J87</f>
        <v>0</v>
      </c>
      <c r="AP84" s="80">
        <v>0</v>
      </c>
      <c r="AQ84" s="73">
        <v>0</v>
      </c>
      <c r="AR84" s="73">
        <v>0</v>
      </c>
      <c r="AS84" s="73">
        <v>0</v>
      </c>
      <c r="AT84" s="73">
        <v>0</v>
      </c>
      <c r="AU84" s="73">
        <v>0</v>
      </c>
      <c r="AV84" s="73">
        <v>0</v>
      </c>
      <c r="AW84" s="73">
        <v>0</v>
      </c>
      <c r="AX84" s="73">
        <v>0</v>
      </c>
      <c r="AY84" s="73">
        <v>0</v>
      </c>
      <c r="AZ84" s="73">
        <v>0</v>
      </c>
      <c r="BA84" s="121">
        <v>0</v>
      </c>
      <c r="BB84" s="126">
        <f t="shared" si="1"/>
        <v>0</v>
      </c>
      <c r="BD84" t="e">
        <f>VLOOKUP('Seznam OM'!C87,List1!$T$5:$AG$145,14,FALSE)</f>
        <v>#N/A</v>
      </c>
    </row>
    <row r="85" spans="1:56" ht="15">
      <c r="A85" s="74" t="s">
        <v>108</v>
      </c>
      <c r="B85" s="85" t="s">
        <v>212</v>
      </c>
      <c r="C85" s="80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9">
        <f>'Seznam OM'!H88</f>
        <v>0</v>
      </c>
      <c r="P85" s="80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9">
        <f>'Seznam OM'!I88</f>
        <v>0</v>
      </c>
      <c r="AC85" s="80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117">
        <f>'Seznam OM'!J88</f>
        <v>0</v>
      </c>
      <c r="AP85" s="80">
        <v>0.058</v>
      </c>
      <c r="AQ85" s="73">
        <v>0.052</v>
      </c>
      <c r="AR85" s="73">
        <v>0.004</v>
      </c>
      <c r="AS85" s="73">
        <v>0</v>
      </c>
      <c r="AT85" s="73">
        <v>0</v>
      </c>
      <c r="AU85" s="73">
        <v>0</v>
      </c>
      <c r="AV85" s="73">
        <v>0</v>
      </c>
      <c r="AW85" s="73">
        <v>0</v>
      </c>
      <c r="AX85" s="73">
        <v>0</v>
      </c>
      <c r="AY85" s="73">
        <v>0</v>
      </c>
      <c r="AZ85" s="73">
        <v>0</v>
      </c>
      <c r="BA85" s="121">
        <v>0</v>
      </c>
      <c r="BB85" s="126">
        <f t="shared" si="1"/>
        <v>0.114</v>
      </c>
      <c r="BD85">
        <f>VLOOKUP('Seznam OM'!C88,List1!$T$5:$AG$145,14,FALSE)</f>
        <v>0.076122</v>
      </c>
    </row>
    <row r="86" spans="1:56" ht="15">
      <c r="A86" s="74" t="s">
        <v>108</v>
      </c>
      <c r="B86" s="85" t="s">
        <v>214</v>
      </c>
      <c r="C86" s="80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9">
        <f>'Seznam OM'!H89</f>
        <v>0</v>
      </c>
      <c r="P86" s="80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9">
        <f>'Seznam OM'!I89</f>
        <v>0</v>
      </c>
      <c r="AC86" s="80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117">
        <f>'Seznam OM'!J89</f>
        <v>0</v>
      </c>
      <c r="AP86" s="80">
        <v>0.741</v>
      </c>
      <c r="AQ86" s="73">
        <v>0.67</v>
      </c>
      <c r="AR86" s="73">
        <v>0.051</v>
      </c>
      <c r="AS86" s="73">
        <v>0</v>
      </c>
      <c r="AT86" s="73">
        <v>0</v>
      </c>
      <c r="AU86" s="73">
        <v>0</v>
      </c>
      <c r="AV86" s="73">
        <v>0</v>
      </c>
      <c r="AW86" s="73">
        <v>0</v>
      </c>
      <c r="AX86" s="73">
        <v>0</v>
      </c>
      <c r="AY86" s="73">
        <v>0</v>
      </c>
      <c r="AZ86" s="73">
        <v>0</v>
      </c>
      <c r="BA86" s="121">
        <v>0</v>
      </c>
      <c r="BB86" s="126">
        <f t="shared" si="1"/>
        <v>1.462</v>
      </c>
      <c r="BD86">
        <f>VLOOKUP('Seznam OM'!C89,List1!$T$5:$AG$145,14,FALSE)</f>
        <v>0.070484</v>
      </c>
    </row>
    <row r="87" spans="1:56" ht="15">
      <c r="A87" s="74" t="s">
        <v>108</v>
      </c>
      <c r="B87" s="85" t="s">
        <v>216</v>
      </c>
      <c r="C87" s="80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9">
        <f>'Seznam OM'!H90</f>
        <v>0</v>
      </c>
      <c r="P87" s="80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9">
        <f>'Seznam OM'!I90</f>
        <v>0</v>
      </c>
      <c r="AC87" s="80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117">
        <f>'Seznam OM'!J90</f>
        <v>0</v>
      </c>
      <c r="AP87" s="80">
        <v>0.063</v>
      </c>
      <c r="AQ87" s="73">
        <v>0.057</v>
      </c>
      <c r="AR87" s="73">
        <v>0.005</v>
      </c>
      <c r="AS87" s="73">
        <v>0</v>
      </c>
      <c r="AT87" s="73">
        <v>0</v>
      </c>
      <c r="AU87" s="73">
        <v>0</v>
      </c>
      <c r="AV87" s="73">
        <v>0</v>
      </c>
      <c r="AW87" s="73">
        <v>0</v>
      </c>
      <c r="AX87" s="73">
        <v>0</v>
      </c>
      <c r="AY87" s="73">
        <v>0</v>
      </c>
      <c r="AZ87" s="73">
        <v>0</v>
      </c>
      <c r="BA87" s="121">
        <v>0</v>
      </c>
      <c r="BB87" s="126">
        <f t="shared" si="1"/>
        <v>0.125</v>
      </c>
      <c r="BD87">
        <f>VLOOKUP('Seznam OM'!C90,List1!$T$5:$AG$145,14,FALSE)</f>
        <v>0.064281</v>
      </c>
    </row>
    <row r="88" spans="1:56" ht="15">
      <c r="A88" s="74" t="s">
        <v>108</v>
      </c>
      <c r="B88" s="85" t="s">
        <v>218</v>
      </c>
      <c r="C88" s="80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9">
        <f>'Seznam OM'!H91</f>
        <v>0</v>
      </c>
      <c r="P88" s="80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9">
        <f>'Seznam OM'!I91</f>
        <v>0</v>
      </c>
      <c r="AC88" s="80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117">
        <f>'Seznam OM'!J91</f>
        <v>0</v>
      </c>
      <c r="AP88" s="80">
        <v>0.013</v>
      </c>
      <c r="AQ88" s="73">
        <v>0.008</v>
      </c>
      <c r="AR88" s="73">
        <v>0</v>
      </c>
      <c r="AS88" s="73">
        <v>0</v>
      </c>
      <c r="AT88" s="73">
        <v>0</v>
      </c>
      <c r="AU88" s="73">
        <v>0</v>
      </c>
      <c r="AV88" s="73">
        <v>0</v>
      </c>
      <c r="AW88" s="73">
        <v>0</v>
      </c>
      <c r="AX88" s="73">
        <v>0</v>
      </c>
      <c r="AY88" s="73">
        <v>0</v>
      </c>
      <c r="AZ88" s="73">
        <v>0</v>
      </c>
      <c r="BA88" s="121">
        <v>0</v>
      </c>
      <c r="BB88" s="126">
        <f t="shared" si="1"/>
        <v>0.020999999999999998</v>
      </c>
      <c r="BD88">
        <f>VLOOKUP('Seznam OM'!C91,List1!$T$5:$AG$145,14,FALSE)</f>
        <v>0.023</v>
      </c>
    </row>
    <row r="89" spans="1:56" ht="15">
      <c r="A89" s="74" t="s">
        <v>108</v>
      </c>
      <c r="B89" s="85" t="s">
        <v>220</v>
      </c>
      <c r="C89" s="80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9">
        <f>'Seznam OM'!H92</f>
        <v>0</v>
      </c>
      <c r="P89" s="80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9">
        <f>'Seznam OM'!I92</f>
        <v>0</v>
      </c>
      <c r="AC89" s="80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117">
        <f>'Seznam OM'!J92</f>
        <v>0</v>
      </c>
      <c r="AP89" s="80">
        <v>0.006</v>
      </c>
      <c r="AQ89" s="73">
        <v>0.002</v>
      </c>
      <c r="AR89" s="73">
        <v>0</v>
      </c>
      <c r="AS89" s="73">
        <v>0</v>
      </c>
      <c r="AT89" s="73">
        <v>0</v>
      </c>
      <c r="AU89" s="73">
        <v>0</v>
      </c>
      <c r="AV89" s="73">
        <v>0</v>
      </c>
      <c r="AW89" s="73">
        <v>0</v>
      </c>
      <c r="AX89" s="73">
        <v>0</v>
      </c>
      <c r="AY89" s="73">
        <v>0</v>
      </c>
      <c r="AZ89" s="73">
        <v>0</v>
      </c>
      <c r="BA89" s="121">
        <v>0</v>
      </c>
      <c r="BB89" s="126">
        <f t="shared" si="1"/>
        <v>0.008</v>
      </c>
      <c r="BD89">
        <f>VLOOKUP('Seznam OM'!C92,List1!$T$5:$AG$145,14,FALSE)</f>
        <v>0.016277</v>
      </c>
    </row>
    <row r="90" spans="1:56" ht="15">
      <c r="A90" s="74" t="s">
        <v>108</v>
      </c>
      <c r="B90" s="85" t="s">
        <v>222</v>
      </c>
      <c r="C90" s="80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9">
        <f>'Seznam OM'!H93</f>
        <v>0</v>
      </c>
      <c r="P90" s="80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9">
        <f>'Seznam OM'!I93</f>
        <v>0</v>
      </c>
      <c r="AC90" s="80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117">
        <f>'Seznam OM'!J93</f>
        <v>0</v>
      </c>
      <c r="AP90" s="80">
        <v>0.005</v>
      </c>
      <c r="AQ90" s="73">
        <v>0.004</v>
      </c>
      <c r="AR90" s="73">
        <v>0</v>
      </c>
      <c r="AS90" s="73">
        <v>0</v>
      </c>
      <c r="AT90" s="73">
        <v>0</v>
      </c>
      <c r="AU90" s="73">
        <v>0</v>
      </c>
      <c r="AV90" s="73">
        <v>0</v>
      </c>
      <c r="AW90" s="73">
        <v>0</v>
      </c>
      <c r="AX90" s="73">
        <v>0</v>
      </c>
      <c r="AY90" s="73">
        <v>0</v>
      </c>
      <c r="AZ90" s="73">
        <v>0</v>
      </c>
      <c r="BA90" s="121">
        <v>0</v>
      </c>
      <c r="BB90" s="126">
        <f t="shared" si="1"/>
        <v>0.009000000000000001</v>
      </c>
      <c r="BD90">
        <f>VLOOKUP('Seznam OM'!C93,List1!$T$5:$AG$145,14,FALSE)</f>
        <v>0.013926</v>
      </c>
    </row>
    <row r="91" spans="1:56" ht="15">
      <c r="A91" s="74" t="s">
        <v>108</v>
      </c>
      <c r="B91" s="85" t="s">
        <v>224</v>
      </c>
      <c r="C91" s="80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9">
        <f>'Seznam OM'!H94</f>
        <v>0</v>
      </c>
      <c r="P91" s="80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9">
        <f>'Seznam OM'!I94</f>
        <v>0</v>
      </c>
      <c r="AC91" s="80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117">
        <f>'Seznam OM'!J94</f>
        <v>0</v>
      </c>
      <c r="AP91" s="80">
        <v>0</v>
      </c>
      <c r="AQ91" s="73">
        <v>0</v>
      </c>
      <c r="AR91" s="73">
        <v>0</v>
      </c>
      <c r="AS91" s="73">
        <v>0</v>
      </c>
      <c r="AT91" s="73">
        <v>0</v>
      </c>
      <c r="AU91" s="73">
        <v>0</v>
      </c>
      <c r="AV91" s="73">
        <v>0</v>
      </c>
      <c r="AW91" s="73">
        <v>0</v>
      </c>
      <c r="AX91" s="73">
        <v>0</v>
      </c>
      <c r="AY91" s="73">
        <v>0</v>
      </c>
      <c r="AZ91" s="73">
        <v>0</v>
      </c>
      <c r="BA91" s="121">
        <v>0</v>
      </c>
      <c r="BB91" s="126">
        <f t="shared" si="1"/>
        <v>0</v>
      </c>
      <c r="BD91" t="e">
        <f>VLOOKUP('Seznam OM'!C94,List1!$T$5:$AG$145,14,FALSE)</f>
        <v>#N/A</v>
      </c>
    </row>
    <row r="92" spans="1:56" ht="15">
      <c r="A92" s="74" t="s">
        <v>108</v>
      </c>
      <c r="B92" s="85" t="s">
        <v>226</v>
      </c>
      <c r="C92" s="80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9">
        <f>'Seznam OM'!H95</f>
        <v>0</v>
      </c>
      <c r="P92" s="80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9">
        <f>'Seznam OM'!I95</f>
        <v>0</v>
      </c>
      <c r="AC92" s="80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117">
        <f>'Seznam OM'!J95</f>
        <v>0</v>
      </c>
      <c r="AP92" s="80">
        <v>0.004</v>
      </c>
      <c r="AQ92" s="73">
        <v>0.004</v>
      </c>
      <c r="AR92" s="73">
        <v>0.002</v>
      </c>
      <c r="AS92" s="73">
        <v>0</v>
      </c>
      <c r="AT92" s="73">
        <v>0</v>
      </c>
      <c r="AU92" s="73">
        <v>0</v>
      </c>
      <c r="AV92" s="73">
        <v>0</v>
      </c>
      <c r="AW92" s="73">
        <v>0</v>
      </c>
      <c r="AX92" s="73">
        <v>0</v>
      </c>
      <c r="AY92" s="73">
        <v>0</v>
      </c>
      <c r="AZ92" s="73">
        <v>0</v>
      </c>
      <c r="BA92" s="121">
        <v>0</v>
      </c>
      <c r="BB92" s="126">
        <f t="shared" si="1"/>
        <v>0.01</v>
      </c>
      <c r="BD92">
        <f>VLOOKUP('Seznam OM'!C95,List1!$T$5:$AG$145,14,FALSE)</f>
        <v>0.003864</v>
      </c>
    </row>
    <row r="93" spans="1:56" ht="15">
      <c r="A93" s="74" t="s">
        <v>108</v>
      </c>
      <c r="B93" s="85" t="s">
        <v>228</v>
      </c>
      <c r="C93" s="80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81"/>
      <c r="P93" s="80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81"/>
      <c r="AC93" s="80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121"/>
      <c r="AP93" s="80">
        <v>0.005</v>
      </c>
      <c r="AQ93" s="73">
        <v>0.002</v>
      </c>
      <c r="AR93" s="73">
        <v>0</v>
      </c>
      <c r="AS93" s="73">
        <v>0</v>
      </c>
      <c r="AT93" s="73">
        <v>0</v>
      </c>
      <c r="AU93" s="73">
        <v>0</v>
      </c>
      <c r="AV93" s="73">
        <v>0</v>
      </c>
      <c r="AW93" s="73">
        <v>0</v>
      </c>
      <c r="AX93" s="73">
        <v>0</v>
      </c>
      <c r="AY93" s="73">
        <v>0</v>
      </c>
      <c r="AZ93" s="73">
        <v>0</v>
      </c>
      <c r="BA93" s="121">
        <v>0</v>
      </c>
      <c r="BB93" s="126">
        <f t="shared" si="1"/>
        <v>0.007</v>
      </c>
      <c r="BD93">
        <f>VLOOKUP('Seznam OM'!C96,List1!$T$5:$AG$145,14,FALSE)</f>
        <v>0.002631</v>
      </c>
    </row>
    <row r="94" spans="1:56" ht="15">
      <c r="A94" s="74" t="s">
        <v>44</v>
      </c>
      <c r="B94" s="85" t="s">
        <v>230</v>
      </c>
      <c r="C94" s="80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81"/>
      <c r="P94" s="80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81"/>
      <c r="AC94" s="80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121"/>
      <c r="AP94" s="80">
        <v>0</v>
      </c>
      <c r="AQ94" s="73">
        <v>0</v>
      </c>
      <c r="AR94" s="73">
        <v>0</v>
      </c>
      <c r="AS94" s="73">
        <v>0</v>
      </c>
      <c r="AT94" s="73">
        <v>0</v>
      </c>
      <c r="AU94" s="73">
        <v>0</v>
      </c>
      <c r="AV94" s="73">
        <v>0</v>
      </c>
      <c r="AW94" s="73">
        <v>0</v>
      </c>
      <c r="AX94" s="73">
        <v>0</v>
      </c>
      <c r="AY94" s="73">
        <v>0</v>
      </c>
      <c r="AZ94" s="73">
        <v>0</v>
      </c>
      <c r="BA94" s="121">
        <v>0</v>
      </c>
      <c r="BB94" s="126">
        <f t="shared" si="1"/>
        <v>0</v>
      </c>
      <c r="BD94" t="e">
        <f>VLOOKUP('Seznam OM'!C97,List1!$T$5:$AG$145,14,FALSE)</f>
        <v>#N/A</v>
      </c>
    </row>
    <row r="95" spans="1:56" ht="15" thickBot="1">
      <c r="A95" s="91" t="s">
        <v>232</v>
      </c>
      <c r="B95" s="88" t="s">
        <v>233</v>
      </c>
      <c r="C95" s="82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4"/>
      <c r="P95" s="149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1"/>
      <c r="AC95" s="82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123"/>
      <c r="AP95" s="82">
        <v>1.024</v>
      </c>
      <c r="AQ95" s="83">
        <v>0.836</v>
      </c>
      <c r="AR95" s="83">
        <v>0.859</v>
      </c>
      <c r="AS95" s="83">
        <v>0.72</v>
      </c>
      <c r="AT95" s="83">
        <v>0.371</v>
      </c>
      <c r="AU95" s="83">
        <v>0</v>
      </c>
      <c r="AV95" s="83">
        <v>0</v>
      </c>
      <c r="AW95" s="83">
        <v>0</v>
      </c>
      <c r="AX95" s="83">
        <v>0</v>
      </c>
      <c r="AY95" s="83">
        <v>0</v>
      </c>
      <c r="AZ95" s="83">
        <v>0</v>
      </c>
      <c r="BA95" s="123">
        <v>0</v>
      </c>
      <c r="BB95" s="127">
        <f t="shared" si="1"/>
        <v>3.81</v>
      </c>
      <c r="BD95">
        <f>VLOOKUP('Seznam OM'!C98,List1!$T$5:$AG$145,14,FALSE)</f>
        <v>0</v>
      </c>
    </row>
    <row r="96" spans="1:54" ht="15">
      <c r="A96" s="147" t="s">
        <v>44</v>
      </c>
      <c r="B96" s="147" t="s">
        <v>230</v>
      </c>
      <c r="C96" s="152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53"/>
      <c r="P96" s="152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53"/>
      <c r="AC96" s="152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53"/>
      <c r="AP96" s="152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53"/>
    </row>
    <row r="97" spans="1:54" ht="15">
      <c r="A97" s="89" t="s">
        <v>232</v>
      </c>
      <c r="B97" s="89" t="s">
        <v>233</v>
      </c>
      <c r="C97" s="80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81"/>
      <c r="P97" s="80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81"/>
      <c r="AC97" s="80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81"/>
      <c r="AP97" s="80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81"/>
    </row>
    <row r="98" spans="1:54" ht="15">
      <c r="A98" s="89" t="s">
        <v>237</v>
      </c>
      <c r="B98" s="89" t="s">
        <v>238</v>
      </c>
      <c r="C98" s="80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81"/>
      <c r="P98" s="80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81"/>
      <c r="AC98" s="80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81"/>
      <c r="AP98" s="80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81"/>
    </row>
    <row r="99" spans="1:54" ht="15">
      <c r="A99" s="89" t="s">
        <v>237</v>
      </c>
      <c r="B99" s="89" t="s">
        <v>240</v>
      </c>
      <c r="C99" s="80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81"/>
      <c r="P99" s="80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81"/>
      <c r="AC99" s="80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81"/>
      <c r="AP99" s="80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81"/>
    </row>
    <row r="100" spans="1:54" ht="15">
      <c r="A100" s="89" t="s">
        <v>237</v>
      </c>
      <c r="B100" s="89" t="s">
        <v>242</v>
      </c>
      <c r="C100" s="80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81"/>
      <c r="P100" s="80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81"/>
      <c r="AC100" s="80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81"/>
      <c r="AP100" s="80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81"/>
    </row>
    <row r="101" spans="1:54" ht="15">
      <c r="A101" s="89" t="s">
        <v>237</v>
      </c>
      <c r="B101" s="89" t="s">
        <v>244</v>
      </c>
      <c r="C101" s="80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81"/>
      <c r="P101" s="80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81"/>
      <c r="AC101" s="80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81"/>
      <c r="AP101" s="80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81"/>
    </row>
    <row r="102" spans="1:54" ht="15">
      <c r="A102" s="89" t="s">
        <v>237</v>
      </c>
      <c r="B102" s="89" t="s">
        <v>246</v>
      </c>
      <c r="C102" s="80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81"/>
      <c r="P102" s="80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81"/>
      <c r="AC102" s="80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81"/>
      <c r="AP102" s="80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81"/>
    </row>
    <row r="103" spans="1:54" ht="15">
      <c r="A103" s="89" t="s">
        <v>237</v>
      </c>
      <c r="B103" s="89" t="s">
        <v>248</v>
      </c>
      <c r="C103" s="80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81"/>
      <c r="P103" s="80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81"/>
      <c r="AC103" s="80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81"/>
      <c r="AP103" s="80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81"/>
    </row>
    <row r="104" spans="1:54" ht="15">
      <c r="A104" s="89" t="s">
        <v>237</v>
      </c>
      <c r="B104" s="89" t="s">
        <v>250</v>
      </c>
      <c r="C104" s="80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81"/>
      <c r="P104" s="80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81"/>
      <c r="AC104" s="80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81"/>
      <c r="AP104" s="80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81"/>
    </row>
    <row r="105" spans="1:54" ht="15">
      <c r="A105" s="89" t="s">
        <v>237</v>
      </c>
      <c r="B105" s="89" t="s">
        <v>252</v>
      </c>
      <c r="C105" s="80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81"/>
      <c r="P105" s="80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81"/>
      <c r="AC105" s="80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81"/>
      <c r="AP105" s="80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81"/>
    </row>
    <row r="106" spans="1:54" ht="15">
      <c r="A106" s="89" t="s">
        <v>237</v>
      </c>
      <c r="B106" s="89" t="s">
        <v>254</v>
      </c>
      <c r="C106" s="80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81"/>
      <c r="P106" s="80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81"/>
      <c r="AC106" s="80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81"/>
      <c r="AP106" s="80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81"/>
    </row>
    <row r="107" spans="1:54" ht="15">
      <c r="A107" s="89" t="s">
        <v>237</v>
      </c>
      <c r="B107" s="89" t="s">
        <v>256</v>
      </c>
      <c r="C107" s="80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81"/>
      <c r="P107" s="80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81"/>
      <c r="AC107" s="80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81"/>
      <c r="AP107" s="80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81"/>
    </row>
    <row r="108" spans="1:54" ht="15">
      <c r="A108" s="89" t="s">
        <v>237</v>
      </c>
      <c r="B108" s="89" t="s">
        <v>258</v>
      </c>
      <c r="C108" s="80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81"/>
      <c r="P108" s="80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81"/>
      <c r="AC108" s="80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81"/>
      <c r="AP108" s="80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81"/>
    </row>
    <row r="109" spans="1:54" ht="15">
      <c r="A109" s="89" t="s">
        <v>237</v>
      </c>
      <c r="B109" s="89" t="s">
        <v>260</v>
      </c>
      <c r="C109" s="80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81"/>
      <c r="P109" s="80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81"/>
      <c r="AC109" s="80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81"/>
      <c r="AP109" s="80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81"/>
    </row>
    <row r="110" spans="1:54" ht="15">
      <c r="A110" s="89" t="s">
        <v>237</v>
      </c>
      <c r="B110" s="89" t="s">
        <v>262</v>
      </c>
      <c r="C110" s="80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81"/>
      <c r="P110" s="80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81"/>
      <c r="AC110" s="80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81"/>
      <c r="AP110" s="80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81"/>
    </row>
    <row r="111" spans="1:54" ht="15">
      <c r="A111" s="89" t="s">
        <v>237</v>
      </c>
      <c r="B111" s="89" t="s">
        <v>264</v>
      </c>
      <c r="C111" s="80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81"/>
      <c r="P111" s="80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81"/>
      <c r="AC111" s="80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81"/>
      <c r="AP111" s="80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81"/>
    </row>
    <row r="112" spans="1:54" ht="15">
      <c r="A112" s="89" t="s">
        <v>237</v>
      </c>
      <c r="B112" s="89" t="s">
        <v>266</v>
      </c>
      <c r="C112" s="80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81"/>
      <c r="P112" s="80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81"/>
      <c r="AC112" s="80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81"/>
      <c r="AP112" s="80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81"/>
    </row>
    <row r="113" spans="1:54" ht="15">
      <c r="A113" s="89" t="s">
        <v>237</v>
      </c>
      <c r="B113" s="89" t="s">
        <v>268</v>
      </c>
      <c r="C113" s="80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81"/>
      <c r="P113" s="80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81"/>
      <c r="AC113" s="80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81"/>
      <c r="AP113" s="80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81"/>
    </row>
    <row r="114" spans="1:54" ht="15">
      <c r="A114" s="89" t="s">
        <v>237</v>
      </c>
      <c r="B114" s="89" t="s">
        <v>270</v>
      </c>
      <c r="C114" s="80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81"/>
      <c r="P114" s="80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81"/>
      <c r="AC114" s="80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81"/>
      <c r="AP114" s="80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81"/>
    </row>
    <row r="115" spans="1:54" ht="15">
      <c r="A115" s="89" t="s">
        <v>237</v>
      </c>
      <c r="B115" s="89" t="s">
        <v>272</v>
      </c>
      <c r="C115" s="80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81"/>
      <c r="P115" s="80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81"/>
      <c r="AC115" s="80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81"/>
      <c r="AP115" s="80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81"/>
    </row>
    <row r="116" spans="1:54" ht="15">
      <c r="A116" s="89" t="s">
        <v>237</v>
      </c>
      <c r="B116" s="89" t="s">
        <v>274</v>
      </c>
      <c r="C116" s="80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81"/>
      <c r="P116" s="80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81"/>
      <c r="AC116" s="80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81"/>
      <c r="AP116" s="80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81"/>
    </row>
    <row r="117" spans="1:54" ht="15">
      <c r="A117" s="89" t="s">
        <v>237</v>
      </c>
      <c r="B117" s="89" t="s">
        <v>276</v>
      </c>
      <c r="C117" s="80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81"/>
      <c r="P117" s="80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81"/>
      <c r="AC117" s="80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81"/>
      <c r="AP117" s="80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81"/>
    </row>
    <row r="118" spans="1:54" ht="15">
      <c r="A118" s="89" t="s">
        <v>237</v>
      </c>
      <c r="B118" s="89" t="s">
        <v>278</v>
      </c>
      <c r="C118" s="80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81"/>
      <c r="P118" s="80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81"/>
      <c r="AC118" s="80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81"/>
      <c r="AP118" s="80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81"/>
    </row>
    <row r="119" spans="1:54" ht="15">
      <c r="A119" s="89" t="s">
        <v>237</v>
      </c>
      <c r="B119" s="89" t="s">
        <v>280</v>
      </c>
      <c r="C119" s="80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81"/>
      <c r="P119" s="80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81"/>
      <c r="AC119" s="80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81"/>
      <c r="AP119" s="80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81"/>
    </row>
    <row r="120" spans="1:54" ht="15">
      <c r="A120" s="89" t="s">
        <v>237</v>
      </c>
      <c r="B120" s="89" t="s">
        <v>282</v>
      </c>
      <c r="C120" s="80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81"/>
      <c r="P120" s="80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81"/>
      <c r="AC120" s="80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81"/>
      <c r="AP120" s="80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81"/>
    </row>
    <row r="121" spans="1:54" ht="15">
      <c r="A121" s="89" t="s">
        <v>237</v>
      </c>
      <c r="B121" s="89" t="s">
        <v>284</v>
      </c>
      <c r="C121" s="80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81"/>
      <c r="P121" s="80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81"/>
      <c r="AC121" s="80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81"/>
      <c r="AP121" s="80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81"/>
    </row>
    <row r="122" spans="1:54" ht="15">
      <c r="A122" s="89" t="s">
        <v>237</v>
      </c>
      <c r="B122" s="89" t="s">
        <v>286</v>
      </c>
      <c r="C122" s="80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81"/>
      <c r="P122" s="80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81"/>
      <c r="AC122" s="80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81"/>
      <c r="AP122" s="80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81"/>
    </row>
    <row r="123" spans="1:54" ht="15">
      <c r="A123" s="89" t="s">
        <v>237</v>
      </c>
      <c r="B123" s="89" t="s">
        <v>288</v>
      </c>
      <c r="C123" s="80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81"/>
      <c r="P123" s="80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81"/>
      <c r="AC123" s="80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81"/>
      <c r="AP123" s="80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81"/>
    </row>
    <row r="124" spans="1:54" ht="15">
      <c r="A124" s="89" t="s">
        <v>237</v>
      </c>
      <c r="B124" s="89" t="s">
        <v>290</v>
      </c>
      <c r="C124" s="80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81"/>
      <c r="P124" s="80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81"/>
      <c r="AC124" s="80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81"/>
      <c r="AP124" s="80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81"/>
    </row>
    <row r="125" spans="1:54" ht="15">
      <c r="A125" s="89" t="s">
        <v>237</v>
      </c>
      <c r="B125" s="89" t="s">
        <v>292</v>
      </c>
      <c r="C125" s="80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81"/>
      <c r="P125" s="80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81"/>
      <c r="AC125" s="80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81"/>
      <c r="AP125" s="80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81"/>
    </row>
    <row r="126" spans="1:54" ht="15">
      <c r="A126" s="89" t="s">
        <v>237</v>
      </c>
      <c r="B126" s="89" t="s">
        <v>294</v>
      </c>
      <c r="C126" s="80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81"/>
      <c r="P126" s="80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81"/>
      <c r="AC126" s="80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81"/>
      <c r="AP126" s="80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81"/>
    </row>
    <row r="127" spans="1:54" ht="15">
      <c r="A127" s="89" t="s">
        <v>237</v>
      </c>
      <c r="B127" s="89" t="s">
        <v>296</v>
      </c>
      <c r="C127" s="80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81"/>
      <c r="P127" s="80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81"/>
      <c r="AC127" s="80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81"/>
      <c r="AP127" s="80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81"/>
    </row>
    <row r="128" spans="1:54" ht="15">
      <c r="A128" s="89" t="s">
        <v>237</v>
      </c>
      <c r="B128" s="89" t="s">
        <v>298</v>
      </c>
      <c r="C128" s="80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81"/>
      <c r="P128" s="80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81"/>
      <c r="AC128" s="80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81"/>
      <c r="AP128" s="80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81"/>
    </row>
    <row r="129" spans="1:54" ht="15">
      <c r="A129" s="89" t="s">
        <v>237</v>
      </c>
      <c r="B129" s="89" t="s">
        <v>300</v>
      </c>
      <c r="C129" s="80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81"/>
      <c r="P129" s="80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81"/>
      <c r="AC129" s="80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81"/>
      <c r="AP129" s="80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81"/>
    </row>
    <row r="130" spans="1:54" ht="15">
      <c r="A130" s="89" t="s">
        <v>237</v>
      </c>
      <c r="B130" s="89" t="s">
        <v>302</v>
      </c>
      <c r="C130" s="80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81"/>
      <c r="P130" s="80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81"/>
      <c r="AC130" s="80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81"/>
      <c r="AP130" s="80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81"/>
    </row>
    <row r="131" spans="1:54" ht="15">
      <c r="A131" s="89" t="s">
        <v>237</v>
      </c>
      <c r="B131" s="89" t="s">
        <v>304</v>
      </c>
      <c r="C131" s="80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81"/>
      <c r="P131" s="80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81"/>
      <c r="AC131" s="80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81"/>
      <c r="AP131" s="80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81"/>
    </row>
    <row r="132" spans="1:54" ht="15">
      <c r="A132" s="89" t="s">
        <v>237</v>
      </c>
      <c r="B132" s="89" t="s">
        <v>306</v>
      </c>
      <c r="C132" s="80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81"/>
      <c r="P132" s="80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81"/>
      <c r="AC132" s="80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81"/>
      <c r="AP132" s="80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81"/>
    </row>
    <row r="133" spans="1:54" ht="15">
      <c r="A133" s="89" t="s">
        <v>237</v>
      </c>
      <c r="B133" s="89" t="s">
        <v>308</v>
      </c>
      <c r="C133" s="80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81"/>
      <c r="P133" s="80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81"/>
      <c r="AC133" s="80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81"/>
      <c r="AP133" s="80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81"/>
    </row>
    <row r="134" spans="1:54" ht="15">
      <c r="A134" s="89" t="s">
        <v>237</v>
      </c>
      <c r="B134" s="89" t="s">
        <v>310</v>
      </c>
      <c r="C134" s="80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81"/>
      <c r="P134" s="80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81"/>
      <c r="AC134" s="80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81"/>
      <c r="AP134" s="80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81"/>
    </row>
    <row r="135" spans="1:54" ht="15">
      <c r="A135" s="89" t="s">
        <v>237</v>
      </c>
      <c r="B135" s="89" t="s">
        <v>312</v>
      </c>
      <c r="C135" s="80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81"/>
      <c r="P135" s="80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81"/>
      <c r="AC135" s="80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81"/>
      <c r="AP135" s="80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81"/>
    </row>
    <row r="136" spans="1:54" ht="15">
      <c r="A136" s="89" t="s">
        <v>237</v>
      </c>
      <c r="B136" s="89" t="s">
        <v>314</v>
      </c>
      <c r="C136" s="80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81"/>
      <c r="P136" s="80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81"/>
      <c r="AC136" s="80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81"/>
      <c r="AP136" s="80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81"/>
    </row>
    <row r="137" spans="1:54" ht="15">
      <c r="A137" s="89" t="s">
        <v>237</v>
      </c>
      <c r="B137" s="89" t="s">
        <v>316</v>
      </c>
      <c r="C137" s="80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81"/>
      <c r="P137" s="80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81"/>
      <c r="AC137" s="80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81"/>
      <c r="AP137" s="80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81"/>
    </row>
    <row r="138" spans="1:54" ht="15">
      <c r="A138" s="89" t="s">
        <v>237</v>
      </c>
      <c r="B138" s="89" t="s">
        <v>318</v>
      </c>
      <c r="C138" s="80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81"/>
      <c r="P138" s="80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81"/>
      <c r="AC138" s="80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81"/>
      <c r="AP138" s="80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81"/>
    </row>
    <row r="139" spans="1:54" ht="15">
      <c r="A139" s="89" t="s">
        <v>237</v>
      </c>
      <c r="B139" s="89" t="s">
        <v>320</v>
      </c>
      <c r="C139" s="80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81"/>
      <c r="P139" s="80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81"/>
      <c r="AC139" s="80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81"/>
      <c r="AP139" s="80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81"/>
    </row>
    <row r="140" spans="1:54" ht="15">
      <c r="A140" s="89" t="s">
        <v>237</v>
      </c>
      <c r="B140" s="89" t="s">
        <v>322</v>
      </c>
      <c r="C140" s="80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81"/>
      <c r="P140" s="80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81"/>
      <c r="AC140" s="80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81"/>
      <c r="AP140" s="80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81"/>
    </row>
    <row r="141" spans="1:54" ht="15">
      <c r="A141" s="89" t="s">
        <v>237</v>
      </c>
      <c r="B141" s="89" t="s">
        <v>324</v>
      </c>
      <c r="C141" s="80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81"/>
      <c r="P141" s="80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81"/>
      <c r="AC141" s="80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81"/>
      <c r="AP141" s="80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81"/>
    </row>
    <row r="142" spans="1:54" ht="15">
      <c r="A142" s="89" t="s">
        <v>237</v>
      </c>
      <c r="B142" s="89" t="s">
        <v>326</v>
      </c>
      <c r="C142" s="80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81"/>
      <c r="P142" s="80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81"/>
      <c r="AC142" s="80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81"/>
      <c r="AP142" s="80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81"/>
    </row>
    <row r="143" spans="1:54" ht="15">
      <c r="A143" s="89" t="s">
        <v>237</v>
      </c>
      <c r="B143" s="89" t="s">
        <v>328</v>
      </c>
      <c r="C143" s="80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81"/>
      <c r="P143" s="80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81"/>
      <c r="AC143" s="80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81"/>
      <c r="AP143" s="80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81"/>
    </row>
    <row r="144" spans="1:54" ht="15">
      <c r="A144" s="89" t="s">
        <v>237</v>
      </c>
      <c r="B144" s="89" t="s">
        <v>330</v>
      </c>
      <c r="C144" s="80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81"/>
      <c r="P144" s="80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81"/>
      <c r="AC144" s="80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81"/>
      <c r="AP144" s="80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81"/>
    </row>
    <row r="145" spans="1:54" ht="15">
      <c r="A145" s="89" t="s">
        <v>237</v>
      </c>
      <c r="B145" s="89" t="s">
        <v>332</v>
      </c>
      <c r="C145" s="80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81"/>
      <c r="P145" s="80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81"/>
      <c r="AC145" s="80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81"/>
      <c r="AP145" s="80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81"/>
    </row>
    <row r="146" spans="1:54" ht="15">
      <c r="A146" s="89" t="s">
        <v>237</v>
      </c>
      <c r="B146" s="89" t="s">
        <v>334</v>
      </c>
      <c r="C146" s="80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81"/>
      <c r="P146" s="80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81"/>
      <c r="AC146" s="80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81"/>
      <c r="AP146" s="80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81"/>
    </row>
    <row r="147" spans="1:54" ht="15">
      <c r="A147" s="89" t="s">
        <v>237</v>
      </c>
      <c r="B147" s="89" t="s">
        <v>336</v>
      </c>
      <c r="C147" s="80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81"/>
      <c r="P147" s="80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81"/>
      <c r="AC147" s="80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81"/>
      <c r="AP147" s="80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81"/>
    </row>
    <row r="148" spans="1:54" ht="15">
      <c r="A148" s="89" t="s">
        <v>237</v>
      </c>
      <c r="B148" s="89" t="s">
        <v>338</v>
      </c>
      <c r="C148" s="80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81"/>
      <c r="P148" s="80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81"/>
      <c r="AC148" s="80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81"/>
      <c r="AP148" s="80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81"/>
    </row>
    <row r="149" spans="1:54" ht="15">
      <c r="A149" s="89" t="s">
        <v>237</v>
      </c>
      <c r="B149" s="89" t="s">
        <v>340</v>
      </c>
      <c r="C149" s="80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81"/>
      <c r="P149" s="80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81"/>
      <c r="AC149" s="80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81"/>
      <c r="AP149" s="80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81"/>
    </row>
    <row r="150" spans="1:54" ht="15">
      <c r="A150" s="89" t="s">
        <v>237</v>
      </c>
      <c r="B150" s="89" t="s">
        <v>342</v>
      </c>
      <c r="C150" s="80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81"/>
      <c r="P150" s="80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81"/>
      <c r="AC150" s="80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81"/>
      <c r="AP150" s="80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81"/>
    </row>
    <row r="151" spans="1:54" ht="15">
      <c r="A151" s="89" t="s">
        <v>237</v>
      </c>
      <c r="B151" s="89" t="s">
        <v>344</v>
      </c>
      <c r="C151" s="80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81"/>
      <c r="P151" s="80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81"/>
      <c r="AC151" s="80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81"/>
      <c r="AP151" s="80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81"/>
    </row>
    <row r="152" spans="1:54" ht="15">
      <c r="A152" s="89" t="s">
        <v>237</v>
      </c>
      <c r="B152" s="89" t="s">
        <v>346</v>
      </c>
      <c r="C152" s="80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81"/>
      <c r="P152" s="80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81"/>
      <c r="AC152" s="80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81"/>
      <c r="AP152" s="80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81"/>
    </row>
    <row r="153" spans="1:54" ht="15">
      <c r="A153" s="89" t="s">
        <v>237</v>
      </c>
      <c r="B153" s="89" t="s">
        <v>348</v>
      </c>
      <c r="C153" s="80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81"/>
      <c r="P153" s="80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81"/>
      <c r="AC153" s="80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81"/>
      <c r="AP153" s="80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81"/>
    </row>
    <row r="154" spans="1:54" ht="15">
      <c r="A154" s="89" t="s">
        <v>237</v>
      </c>
      <c r="B154" s="89" t="s">
        <v>350</v>
      </c>
      <c r="C154" s="80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81"/>
      <c r="P154" s="80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81"/>
      <c r="AC154" s="80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81"/>
      <c r="AP154" s="80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81"/>
    </row>
    <row r="155" spans="1:54" ht="15">
      <c r="A155" s="89" t="s">
        <v>237</v>
      </c>
      <c r="B155" s="89" t="s">
        <v>352</v>
      </c>
      <c r="C155" s="80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81"/>
      <c r="P155" s="80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81"/>
      <c r="AC155" s="80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81"/>
      <c r="AP155" s="80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81"/>
    </row>
    <row r="156" spans="1:54" ht="15">
      <c r="A156" s="89" t="s">
        <v>237</v>
      </c>
      <c r="B156" s="89" t="s">
        <v>354</v>
      </c>
      <c r="C156" s="80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81"/>
      <c r="P156" s="80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81"/>
      <c r="AC156" s="80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81"/>
      <c r="AP156" s="80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81"/>
    </row>
    <row r="157" spans="1:54" ht="15">
      <c r="A157" s="89" t="s">
        <v>237</v>
      </c>
      <c r="B157" s="89" t="s">
        <v>356</v>
      </c>
      <c r="C157" s="80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81"/>
      <c r="P157" s="80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81"/>
      <c r="AC157" s="80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81"/>
      <c r="AP157" s="80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81"/>
    </row>
    <row r="158" spans="1:54" ht="15">
      <c r="A158" s="89" t="s">
        <v>237</v>
      </c>
      <c r="B158" s="89" t="s">
        <v>358</v>
      </c>
      <c r="C158" s="80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81"/>
      <c r="P158" s="80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81"/>
      <c r="AC158" s="80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81"/>
      <c r="AP158" s="80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81"/>
    </row>
    <row r="159" spans="1:54" ht="15">
      <c r="A159" s="89" t="s">
        <v>237</v>
      </c>
      <c r="B159" s="89" t="s">
        <v>360</v>
      </c>
      <c r="C159" s="80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81"/>
      <c r="P159" s="80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81"/>
      <c r="AC159" s="80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81"/>
      <c r="AP159" s="80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81"/>
    </row>
    <row r="160" spans="1:54" ht="15">
      <c r="A160" s="89" t="s">
        <v>237</v>
      </c>
      <c r="B160" s="89" t="s">
        <v>362</v>
      </c>
      <c r="C160" s="80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81"/>
      <c r="P160" s="80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81"/>
      <c r="AC160" s="80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81"/>
      <c r="AP160" s="80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81"/>
    </row>
    <row r="161" spans="1:54" ht="15">
      <c r="A161" s="89" t="s">
        <v>237</v>
      </c>
      <c r="B161" s="89" t="s">
        <v>364</v>
      </c>
      <c r="C161" s="80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81"/>
      <c r="P161" s="80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81"/>
      <c r="AC161" s="80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81"/>
      <c r="AP161" s="80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81"/>
    </row>
    <row r="162" spans="1:54" ht="15">
      <c r="A162" s="89" t="s">
        <v>237</v>
      </c>
      <c r="B162" s="89" t="s">
        <v>366</v>
      </c>
      <c r="C162" s="80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81"/>
      <c r="P162" s="80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81"/>
      <c r="AC162" s="80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81"/>
      <c r="AP162" s="80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81"/>
    </row>
    <row r="163" spans="1:54" ht="15">
      <c r="A163" s="89" t="s">
        <v>237</v>
      </c>
      <c r="B163" s="89" t="s">
        <v>368</v>
      </c>
      <c r="C163" s="80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81"/>
      <c r="P163" s="80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81"/>
      <c r="AC163" s="80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81"/>
      <c r="AP163" s="80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81"/>
    </row>
    <row r="164" spans="1:54" ht="15">
      <c r="A164" s="89" t="s">
        <v>237</v>
      </c>
      <c r="B164" s="89" t="s">
        <v>370</v>
      </c>
      <c r="C164" s="80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81"/>
      <c r="P164" s="80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81"/>
      <c r="AC164" s="80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81"/>
      <c r="AP164" s="80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81"/>
    </row>
    <row r="165" spans="1:54" ht="15">
      <c r="A165" s="89" t="s">
        <v>237</v>
      </c>
      <c r="B165" s="89" t="s">
        <v>372</v>
      </c>
      <c r="C165" s="80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81"/>
      <c r="P165" s="80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81"/>
      <c r="AC165" s="80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81"/>
      <c r="AP165" s="80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81"/>
    </row>
    <row r="166" spans="1:54" ht="15">
      <c r="A166" s="89" t="s">
        <v>237</v>
      </c>
      <c r="B166" s="89" t="s">
        <v>374</v>
      </c>
      <c r="C166" s="80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81"/>
      <c r="P166" s="80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81"/>
      <c r="AC166" s="80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81"/>
      <c r="AP166" s="80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81"/>
    </row>
    <row r="167" spans="1:54" ht="15">
      <c r="A167" s="89" t="s">
        <v>237</v>
      </c>
      <c r="B167" s="89" t="s">
        <v>376</v>
      </c>
      <c r="C167" s="80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81"/>
      <c r="P167" s="80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81"/>
      <c r="AC167" s="80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81"/>
      <c r="AP167" s="80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81"/>
    </row>
    <row r="168" spans="1:54" ht="15">
      <c r="A168" s="89" t="s">
        <v>237</v>
      </c>
      <c r="B168" s="89" t="s">
        <v>378</v>
      </c>
      <c r="C168" s="80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81"/>
      <c r="P168" s="80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81"/>
      <c r="AC168" s="80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81"/>
      <c r="AP168" s="80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81"/>
    </row>
    <row r="169" spans="1:54" ht="15">
      <c r="A169" s="89" t="s">
        <v>237</v>
      </c>
      <c r="B169" s="89" t="s">
        <v>380</v>
      </c>
      <c r="C169" s="80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81"/>
      <c r="P169" s="80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81"/>
      <c r="AC169" s="80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81"/>
      <c r="AP169" s="80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81"/>
    </row>
    <row r="170" spans="1:54" ht="15">
      <c r="A170" s="89" t="s">
        <v>237</v>
      </c>
      <c r="B170" s="89" t="s">
        <v>382</v>
      </c>
      <c r="C170" s="80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81"/>
      <c r="P170" s="80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81"/>
      <c r="AC170" s="80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81"/>
      <c r="AP170" s="80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81"/>
    </row>
    <row r="171" spans="1:54" ht="15">
      <c r="A171" s="89" t="s">
        <v>237</v>
      </c>
      <c r="B171" s="89" t="s">
        <v>384</v>
      </c>
      <c r="C171" s="80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81"/>
      <c r="P171" s="80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81"/>
      <c r="AC171" s="80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81"/>
      <c r="AP171" s="80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81"/>
    </row>
    <row r="172" spans="1:54" ht="15">
      <c r="A172" s="89" t="s">
        <v>237</v>
      </c>
      <c r="B172" s="89" t="s">
        <v>386</v>
      </c>
      <c r="C172" s="80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81"/>
      <c r="P172" s="80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81"/>
      <c r="AC172" s="80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81"/>
      <c r="AP172" s="80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81"/>
    </row>
    <row r="173" spans="1:54" ht="15">
      <c r="A173" s="89" t="s">
        <v>237</v>
      </c>
      <c r="B173" s="89" t="s">
        <v>387</v>
      </c>
      <c r="C173" s="80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81"/>
      <c r="P173" s="80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81"/>
      <c r="AC173" s="80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81"/>
      <c r="AP173" s="80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81"/>
    </row>
    <row r="174" spans="1:54" ht="15">
      <c r="A174" s="89" t="s">
        <v>232</v>
      </c>
      <c r="B174" s="89" t="s">
        <v>389</v>
      </c>
      <c r="C174" s="80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81"/>
      <c r="P174" s="80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81"/>
      <c r="AC174" s="80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81"/>
      <c r="AP174" s="80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81"/>
    </row>
    <row r="175" spans="1:54" ht="15">
      <c r="A175" s="89" t="s">
        <v>44</v>
      </c>
      <c r="B175" s="89" t="s">
        <v>391</v>
      </c>
      <c r="C175" s="80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81"/>
      <c r="P175" s="80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81"/>
      <c r="AC175" s="80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81"/>
      <c r="AP175" s="80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81"/>
    </row>
    <row r="176" spans="1:54" ht="15">
      <c r="A176" s="89" t="s">
        <v>44</v>
      </c>
      <c r="B176" s="89" t="s">
        <v>393</v>
      </c>
      <c r="C176" s="80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81"/>
      <c r="P176" s="80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81"/>
      <c r="AC176" s="80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81"/>
      <c r="AP176" s="80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81"/>
    </row>
    <row r="177" spans="1:54" ht="15">
      <c r="A177" s="89" t="s">
        <v>44</v>
      </c>
      <c r="B177" s="89" t="s">
        <v>395</v>
      </c>
      <c r="C177" s="80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81"/>
      <c r="P177" s="80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81"/>
      <c r="AC177" s="80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81"/>
      <c r="AP177" s="80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81"/>
    </row>
    <row r="178" spans="1:54" ht="15">
      <c r="A178" s="89" t="s">
        <v>44</v>
      </c>
      <c r="B178" s="89" t="s">
        <v>397</v>
      </c>
      <c r="C178" s="80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81"/>
      <c r="P178" s="80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81"/>
      <c r="AC178" s="80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81"/>
      <c r="AP178" s="80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81"/>
    </row>
    <row r="179" spans="1:54" ht="15">
      <c r="A179" s="89" t="s">
        <v>108</v>
      </c>
      <c r="B179" s="89" t="s">
        <v>399</v>
      </c>
      <c r="C179" s="80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81"/>
      <c r="P179" s="80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81"/>
      <c r="AC179" s="80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81"/>
      <c r="AP179" s="80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81"/>
    </row>
    <row r="180" spans="1:54" ht="15" thickBot="1">
      <c r="A180" s="148" t="s">
        <v>44</v>
      </c>
      <c r="B180" s="148" t="s">
        <v>401</v>
      </c>
      <c r="C180" s="82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4"/>
      <c r="P180" s="82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4"/>
      <c r="AC180" s="82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4"/>
      <c r="AP180" s="82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4"/>
    </row>
  </sheetData>
  <mergeCells count="14">
    <mergeCell ref="AC2:AN2"/>
    <mergeCell ref="AO2:AO3"/>
    <mergeCell ref="AP2:BA2"/>
    <mergeCell ref="BB2:BB3"/>
    <mergeCell ref="A1:A3"/>
    <mergeCell ref="B1:B3"/>
    <mergeCell ref="C1:O1"/>
    <mergeCell ref="P1:AB1"/>
    <mergeCell ref="AC1:AO1"/>
    <mergeCell ref="AP1:BB1"/>
    <mergeCell ref="C2:N2"/>
    <mergeCell ref="O2:O3"/>
    <mergeCell ref="P2:AA2"/>
    <mergeCell ref="AB2:A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4CFD2-8BD8-4F98-B019-E2FB6B9E9FFF}">
  <dimension ref="A2:AK145"/>
  <sheetViews>
    <sheetView workbookViewId="0" topLeftCell="A1"/>
  </sheetViews>
  <sheetFormatPr defaultColWidth="9.140625" defaultRowHeight="15"/>
  <cols>
    <col min="1" max="1" width="17.00390625" style="0" customWidth="1"/>
    <col min="4" max="4" width="15.421875" style="0" customWidth="1"/>
    <col min="12" max="12" width="15.140625" style="0" customWidth="1"/>
    <col min="13" max="13" width="28.57421875" style="0" customWidth="1"/>
    <col min="14" max="14" width="18.28125" style="0" customWidth="1"/>
    <col min="15" max="15" width="16.421875" style="0" customWidth="1"/>
    <col min="19" max="19" width="13.28125" style="0" customWidth="1"/>
    <col min="20" max="20" width="20.28125" style="0" customWidth="1"/>
    <col min="27" max="27" width="13.7109375" style="0" customWidth="1"/>
    <col min="34" max="34" width="3.7109375" style="0" customWidth="1"/>
    <col min="36" max="36" width="12.7109375" style="0" customWidth="1"/>
    <col min="37" max="37" width="48.7109375" style="0" customWidth="1"/>
  </cols>
  <sheetData>
    <row r="2" ht="15">
      <c r="AG2" s="157">
        <f>SUM(AG5:AG145)</f>
        <v>2438.953868999999</v>
      </c>
    </row>
    <row r="3" spans="1:33" ht="15">
      <c r="A3" s="198" t="s">
        <v>477</v>
      </c>
      <c r="B3" s="198"/>
      <c r="C3" s="198"/>
      <c r="D3" s="198"/>
      <c r="E3" s="198"/>
      <c r="F3" s="198"/>
      <c r="G3" s="198"/>
      <c r="H3" s="198"/>
      <c r="I3" s="198" t="s">
        <v>478</v>
      </c>
      <c r="J3" s="198"/>
      <c r="K3" s="198"/>
      <c r="L3" s="198"/>
      <c r="M3" s="198" t="s">
        <v>479</v>
      </c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 t="s">
        <v>480</v>
      </c>
      <c r="Y3" s="198"/>
      <c r="Z3" s="198"/>
      <c r="AA3" s="198" t="s">
        <v>481</v>
      </c>
      <c r="AB3" s="198"/>
      <c r="AC3" s="198"/>
      <c r="AD3" s="198"/>
      <c r="AE3" s="198" t="s">
        <v>482</v>
      </c>
      <c r="AF3" s="198"/>
      <c r="AG3" s="198"/>
    </row>
    <row r="4" spans="1:33" ht="15">
      <c r="A4" s="158" t="s">
        <v>483</v>
      </c>
      <c r="B4" s="158" t="s">
        <v>484</v>
      </c>
      <c r="C4" s="158" t="s">
        <v>485</v>
      </c>
      <c r="D4" s="158" t="s">
        <v>486</v>
      </c>
      <c r="E4" s="158" t="s">
        <v>487</v>
      </c>
      <c r="F4" s="158" t="s">
        <v>488</v>
      </c>
      <c r="G4" s="158" t="s">
        <v>489</v>
      </c>
      <c r="H4" s="158" t="s">
        <v>490</v>
      </c>
      <c r="I4" s="158" t="s">
        <v>491</v>
      </c>
      <c r="J4" s="158" t="s">
        <v>492</v>
      </c>
      <c r="K4" s="158" t="s">
        <v>493</v>
      </c>
      <c r="L4" s="158" t="s">
        <v>494</v>
      </c>
      <c r="M4" s="158" t="s">
        <v>495</v>
      </c>
      <c r="N4" s="158" t="s">
        <v>486</v>
      </c>
      <c r="O4" s="158" t="s">
        <v>487</v>
      </c>
      <c r="P4" s="158" t="s">
        <v>488</v>
      </c>
      <c r="Q4" s="158" t="s">
        <v>489</v>
      </c>
      <c r="R4" s="158" t="s">
        <v>490</v>
      </c>
      <c r="S4" s="158" t="s">
        <v>496</v>
      </c>
      <c r="T4" s="158" t="s">
        <v>7</v>
      </c>
      <c r="U4" s="158" t="s">
        <v>497</v>
      </c>
      <c r="V4" s="158" t="s">
        <v>498</v>
      </c>
      <c r="W4" s="158" t="s">
        <v>499</v>
      </c>
      <c r="X4" s="158" t="s">
        <v>500</v>
      </c>
      <c r="Y4" s="158" t="s">
        <v>501</v>
      </c>
      <c r="Z4" s="158" t="s">
        <v>502</v>
      </c>
      <c r="AA4" s="158" t="s">
        <v>503</v>
      </c>
      <c r="AB4" s="158" t="s">
        <v>9</v>
      </c>
      <c r="AC4" s="158" t="s">
        <v>489</v>
      </c>
      <c r="AD4" s="158" t="s">
        <v>490</v>
      </c>
      <c r="AE4" s="158" t="s">
        <v>504</v>
      </c>
      <c r="AF4" s="158" t="s">
        <v>505</v>
      </c>
      <c r="AG4" s="158" t="s">
        <v>506</v>
      </c>
    </row>
    <row r="5" spans="1:33" ht="15">
      <c r="A5" s="159" t="s">
        <v>507</v>
      </c>
      <c r="B5" s="160" t="s">
        <v>508</v>
      </c>
      <c r="C5" s="160" t="s">
        <v>509</v>
      </c>
      <c r="D5" s="159" t="s">
        <v>510</v>
      </c>
      <c r="E5" s="159">
        <v>42</v>
      </c>
      <c r="F5" s="159">
        <v>3</v>
      </c>
      <c r="G5" s="159" t="s">
        <v>511</v>
      </c>
      <c r="H5" s="159">
        <v>69081</v>
      </c>
      <c r="I5" s="159" t="s">
        <v>512</v>
      </c>
      <c r="J5" s="159" t="s">
        <v>513</v>
      </c>
      <c r="K5" s="159" t="s">
        <v>514</v>
      </c>
      <c r="L5" s="159" t="s">
        <v>515</v>
      </c>
      <c r="M5" s="159" t="s">
        <v>401</v>
      </c>
      <c r="N5" s="159" t="s">
        <v>516</v>
      </c>
      <c r="O5" s="159" t="s">
        <v>517</v>
      </c>
      <c r="P5" s="159">
        <v>20</v>
      </c>
      <c r="Q5" s="159" t="s">
        <v>511</v>
      </c>
      <c r="R5" s="159">
        <v>69002</v>
      </c>
      <c r="S5" s="159" t="s">
        <v>518</v>
      </c>
      <c r="T5" s="160" t="s">
        <v>400</v>
      </c>
      <c r="U5" s="159" t="s">
        <v>519</v>
      </c>
      <c r="V5" s="159" t="s">
        <v>520</v>
      </c>
      <c r="W5" s="161">
        <v>10</v>
      </c>
      <c r="X5" s="159"/>
      <c r="Y5" s="159"/>
      <c r="Z5" s="159"/>
      <c r="AA5" s="159" t="s">
        <v>44</v>
      </c>
      <c r="AB5" s="159" t="s">
        <v>521</v>
      </c>
      <c r="AC5" s="159" t="s">
        <v>511</v>
      </c>
      <c r="AD5" s="159">
        <v>69002</v>
      </c>
      <c r="AE5" s="162">
        <v>0.155571</v>
      </c>
      <c r="AF5" s="162">
        <v>0</v>
      </c>
      <c r="AG5" s="162">
        <f>AF5+AE5</f>
        <v>0.155571</v>
      </c>
    </row>
    <row r="6" spans="1:33" ht="15">
      <c r="A6" s="159" t="s">
        <v>507</v>
      </c>
      <c r="B6" s="160" t="s">
        <v>508</v>
      </c>
      <c r="C6" s="160" t="s">
        <v>509</v>
      </c>
      <c r="D6" s="159" t="s">
        <v>510</v>
      </c>
      <c r="E6" s="159">
        <v>42</v>
      </c>
      <c r="F6" s="159">
        <v>3</v>
      </c>
      <c r="G6" s="159" t="s">
        <v>511</v>
      </c>
      <c r="H6" s="159">
        <v>69081</v>
      </c>
      <c r="I6" s="159" t="s">
        <v>512</v>
      </c>
      <c r="J6" s="159" t="s">
        <v>513</v>
      </c>
      <c r="K6" s="159" t="s">
        <v>514</v>
      </c>
      <c r="L6" s="159" t="s">
        <v>515</v>
      </c>
      <c r="M6" s="159" t="s">
        <v>401</v>
      </c>
      <c r="N6" s="159" t="s">
        <v>522</v>
      </c>
      <c r="O6" s="159" t="s">
        <v>523</v>
      </c>
      <c r="P6" s="159">
        <v>31</v>
      </c>
      <c r="Q6" s="159" t="s">
        <v>511</v>
      </c>
      <c r="R6" s="159">
        <v>69141</v>
      </c>
      <c r="S6" s="159" t="s">
        <v>518</v>
      </c>
      <c r="T6" s="160" t="s">
        <v>199</v>
      </c>
      <c r="U6" s="159" t="s">
        <v>519</v>
      </c>
      <c r="V6" s="159" t="s">
        <v>520</v>
      </c>
      <c r="W6" s="161">
        <v>10</v>
      </c>
      <c r="X6" s="159"/>
      <c r="Y6" s="159"/>
      <c r="Z6" s="159"/>
      <c r="AA6" s="159" t="s">
        <v>44</v>
      </c>
      <c r="AB6" s="159" t="s">
        <v>521</v>
      </c>
      <c r="AC6" s="159" t="s">
        <v>511</v>
      </c>
      <c r="AD6" s="159">
        <v>69002</v>
      </c>
      <c r="AE6" s="162">
        <v>0.15649</v>
      </c>
      <c r="AF6" s="162">
        <v>0</v>
      </c>
      <c r="AG6" s="162">
        <f aca="true" t="shared" si="0" ref="AG6:AG69">AF6+AE6</f>
        <v>0.15649</v>
      </c>
    </row>
    <row r="7" spans="1:33" ht="15">
      <c r="A7" s="159" t="s">
        <v>507</v>
      </c>
      <c r="B7" s="160" t="s">
        <v>508</v>
      </c>
      <c r="C7" s="160" t="s">
        <v>509</v>
      </c>
      <c r="D7" s="159" t="s">
        <v>510</v>
      </c>
      <c r="E7" s="159">
        <v>42</v>
      </c>
      <c r="F7" s="159">
        <v>3</v>
      </c>
      <c r="G7" s="159" t="s">
        <v>511</v>
      </c>
      <c r="H7" s="159">
        <v>69081</v>
      </c>
      <c r="I7" s="159" t="s">
        <v>512</v>
      </c>
      <c r="J7" s="159" t="s">
        <v>513</v>
      </c>
      <c r="K7" s="159" t="s">
        <v>514</v>
      </c>
      <c r="L7" s="159" t="s">
        <v>515</v>
      </c>
      <c r="M7" s="159" t="s">
        <v>401</v>
      </c>
      <c r="N7" s="159" t="s">
        <v>524</v>
      </c>
      <c r="O7" s="159" t="s">
        <v>525</v>
      </c>
      <c r="P7" s="159"/>
      <c r="Q7" s="159" t="s">
        <v>511</v>
      </c>
      <c r="R7" s="159">
        <v>69002</v>
      </c>
      <c r="S7" s="159" t="s">
        <v>518</v>
      </c>
      <c r="T7" s="160" t="s">
        <v>201</v>
      </c>
      <c r="U7" s="159" t="s">
        <v>519</v>
      </c>
      <c r="V7" s="159" t="s">
        <v>520</v>
      </c>
      <c r="W7" s="161">
        <v>10</v>
      </c>
      <c r="X7" s="159"/>
      <c r="Y7" s="159"/>
      <c r="Z7" s="159"/>
      <c r="AA7" s="159" t="s">
        <v>44</v>
      </c>
      <c r="AB7" s="159" t="s">
        <v>521</v>
      </c>
      <c r="AC7" s="159" t="s">
        <v>511</v>
      </c>
      <c r="AD7" s="159">
        <v>69002</v>
      </c>
      <c r="AE7" s="162">
        <v>0.149165</v>
      </c>
      <c r="AF7" s="162">
        <v>0</v>
      </c>
      <c r="AG7" s="162">
        <f t="shared" si="0"/>
        <v>0.149165</v>
      </c>
    </row>
    <row r="8" spans="1:33" ht="15">
      <c r="A8" s="159" t="s">
        <v>507</v>
      </c>
      <c r="B8" s="160" t="s">
        <v>508</v>
      </c>
      <c r="C8" s="160" t="s">
        <v>509</v>
      </c>
      <c r="D8" s="159" t="s">
        <v>510</v>
      </c>
      <c r="E8" s="159">
        <v>42</v>
      </c>
      <c r="F8" s="159">
        <v>3</v>
      </c>
      <c r="G8" s="159" t="s">
        <v>511</v>
      </c>
      <c r="H8" s="159">
        <v>69081</v>
      </c>
      <c r="I8" s="159" t="s">
        <v>512</v>
      </c>
      <c r="J8" s="159" t="s">
        <v>513</v>
      </c>
      <c r="K8" s="159" t="s">
        <v>514</v>
      </c>
      <c r="L8" s="159" t="s">
        <v>515</v>
      </c>
      <c r="M8" s="159" t="s">
        <v>526</v>
      </c>
      <c r="N8" s="159" t="s">
        <v>527</v>
      </c>
      <c r="O8" s="159" t="s">
        <v>528</v>
      </c>
      <c r="P8" s="159">
        <v>1</v>
      </c>
      <c r="Q8" s="159" t="s">
        <v>511</v>
      </c>
      <c r="R8" s="159">
        <v>69002</v>
      </c>
      <c r="S8" s="159" t="s">
        <v>518</v>
      </c>
      <c r="T8" s="160" t="s">
        <v>177</v>
      </c>
      <c r="U8" s="159" t="s">
        <v>519</v>
      </c>
      <c r="V8" s="159" t="s">
        <v>520</v>
      </c>
      <c r="W8" s="161">
        <v>16</v>
      </c>
      <c r="X8" s="159"/>
      <c r="Y8" s="159"/>
      <c r="Z8" s="159"/>
      <c r="AA8" s="159" t="s">
        <v>44</v>
      </c>
      <c r="AB8" s="159" t="s">
        <v>521</v>
      </c>
      <c r="AC8" s="159" t="s">
        <v>511</v>
      </c>
      <c r="AD8" s="159">
        <v>69002</v>
      </c>
      <c r="AE8" s="162">
        <v>0.250873</v>
      </c>
      <c r="AF8" s="162">
        <v>0</v>
      </c>
      <c r="AG8" s="162">
        <f t="shared" si="0"/>
        <v>0.250873</v>
      </c>
    </row>
    <row r="9" spans="1:33" ht="15">
      <c r="A9" s="159" t="s">
        <v>507</v>
      </c>
      <c r="B9" s="160" t="s">
        <v>508</v>
      </c>
      <c r="C9" s="160" t="s">
        <v>509</v>
      </c>
      <c r="D9" s="159" t="s">
        <v>510</v>
      </c>
      <c r="E9" s="159">
        <v>42</v>
      </c>
      <c r="F9" s="159">
        <v>3</v>
      </c>
      <c r="G9" s="159" t="s">
        <v>511</v>
      </c>
      <c r="H9" s="159">
        <v>69081</v>
      </c>
      <c r="I9" s="159" t="s">
        <v>512</v>
      </c>
      <c r="J9" s="159" t="s">
        <v>513</v>
      </c>
      <c r="K9" s="159" t="s">
        <v>514</v>
      </c>
      <c r="L9" s="159" t="s">
        <v>515</v>
      </c>
      <c r="M9" s="159" t="s">
        <v>529</v>
      </c>
      <c r="N9" s="159" t="s">
        <v>530</v>
      </c>
      <c r="O9" s="159" t="s">
        <v>531</v>
      </c>
      <c r="P9" s="159" t="s">
        <v>532</v>
      </c>
      <c r="Q9" s="159" t="s">
        <v>511</v>
      </c>
      <c r="R9" s="159">
        <v>69141</v>
      </c>
      <c r="S9" s="159" t="s">
        <v>518</v>
      </c>
      <c r="T9" s="160" t="s">
        <v>195</v>
      </c>
      <c r="U9" s="159" t="s">
        <v>519</v>
      </c>
      <c r="V9" s="159" t="s">
        <v>520</v>
      </c>
      <c r="W9" s="161">
        <v>10</v>
      </c>
      <c r="X9" s="159"/>
      <c r="Y9" s="159"/>
      <c r="Z9" s="159"/>
      <c r="AA9" s="159" t="s">
        <v>44</v>
      </c>
      <c r="AB9" s="159" t="s">
        <v>521</v>
      </c>
      <c r="AC9" s="159" t="s">
        <v>511</v>
      </c>
      <c r="AD9" s="159">
        <v>69002</v>
      </c>
      <c r="AE9" s="162">
        <v>0.164434</v>
      </c>
      <c r="AF9" s="162">
        <v>0</v>
      </c>
      <c r="AG9" s="162">
        <f t="shared" si="0"/>
        <v>0.164434</v>
      </c>
    </row>
    <row r="10" spans="1:33" ht="15">
      <c r="A10" s="159" t="s">
        <v>507</v>
      </c>
      <c r="B10" s="160" t="s">
        <v>508</v>
      </c>
      <c r="C10" s="160" t="s">
        <v>509</v>
      </c>
      <c r="D10" s="159" t="s">
        <v>510</v>
      </c>
      <c r="E10" s="159">
        <v>42</v>
      </c>
      <c r="F10" s="159">
        <v>3</v>
      </c>
      <c r="G10" s="159" t="s">
        <v>511</v>
      </c>
      <c r="H10" s="159">
        <v>69081</v>
      </c>
      <c r="I10" s="159" t="s">
        <v>512</v>
      </c>
      <c r="J10" s="159" t="s">
        <v>513</v>
      </c>
      <c r="K10" s="159" t="s">
        <v>514</v>
      </c>
      <c r="L10" s="159" t="s">
        <v>515</v>
      </c>
      <c r="M10" s="159" t="s">
        <v>533</v>
      </c>
      <c r="N10" s="159" t="s">
        <v>534</v>
      </c>
      <c r="O10" s="159">
        <v>3411</v>
      </c>
      <c r="P10" s="159" t="s">
        <v>535</v>
      </c>
      <c r="Q10" s="159" t="s">
        <v>511</v>
      </c>
      <c r="R10" s="159">
        <v>69003</v>
      </c>
      <c r="S10" s="159" t="s">
        <v>518</v>
      </c>
      <c r="T10" s="160" t="s">
        <v>187</v>
      </c>
      <c r="U10" s="159" t="s">
        <v>519</v>
      </c>
      <c r="V10" s="159" t="s">
        <v>520</v>
      </c>
      <c r="W10" s="161">
        <v>10</v>
      </c>
      <c r="X10" s="159"/>
      <c r="Y10" s="159"/>
      <c r="Z10" s="159"/>
      <c r="AA10" s="159" t="s">
        <v>44</v>
      </c>
      <c r="AB10" s="159" t="s">
        <v>521</v>
      </c>
      <c r="AC10" s="159" t="s">
        <v>511</v>
      </c>
      <c r="AD10" s="159">
        <v>69002</v>
      </c>
      <c r="AE10" s="162">
        <v>0.176169</v>
      </c>
      <c r="AF10" s="162">
        <v>0</v>
      </c>
      <c r="AG10" s="162">
        <f t="shared" si="0"/>
        <v>0.176169</v>
      </c>
    </row>
    <row r="11" spans="1:33" ht="15">
      <c r="A11" s="159" t="s">
        <v>507</v>
      </c>
      <c r="B11" s="160" t="s">
        <v>508</v>
      </c>
      <c r="C11" s="160" t="s">
        <v>509</v>
      </c>
      <c r="D11" s="159" t="s">
        <v>510</v>
      </c>
      <c r="E11" s="159">
        <v>42</v>
      </c>
      <c r="F11" s="159">
        <v>3</v>
      </c>
      <c r="G11" s="159" t="s">
        <v>511</v>
      </c>
      <c r="H11" s="159">
        <v>69081</v>
      </c>
      <c r="I11" s="159" t="s">
        <v>512</v>
      </c>
      <c r="J11" s="159" t="s">
        <v>513</v>
      </c>
      <c r="K11" s="159" t="s">
        <v>514</v>
      </c>
      <c r="L11" s="159" t="s">
        <v>515</v>
      </c>
      <c r="M11" s="159" t="s">
        <v>536</v>
      </c>
      <c r="N11" s="159" t="s">
        <v>537</v>
      </c>
      <c r="O11" s="159" t="s">
        <v>538</v>
      </c>
      <c r="P11" s="159">
        <v>2</v>
      </c>
      <c r="Q11" s="159" t="s">
        <v>511</v>
      </c>
      <c r="R11" s="159">
        <v>69002</v>
      </c>
      <c r="S11" s="159" t="s">
        <v>518</v>
      </c>
      <c r="T11" s="160" t="s">
        <v>197</v>
      </c>
      <c r="U11" s="159" t="s">
        <v>519</v>
      </c>
      <c r="V11" s="159" t="s">
        <v>520</v>
      </c>
      <c r="W11" s="161">
        <v>10</v>
      </c>
      <c r="X11" s="159"/>
      <c r="Y11" s="159"/>
      <c r="Z11" s="159"/>
      <c r="AA11" s="159" t="s">
        <v>44</v>
      </c>
      <c r="AB11" s="159" t="s">
        <v>521</v>
      </c>
      <c r="AC11" s="159" t="s">
        <v>511</v>
      </c>
      <c r="AD11" s="159">
        <v>69002</v>
      </c>
      <c r="AE11" s="162">
        <v>0.16383</v>
      </c>
      <c r="AF11" s="162">
        <v>0</v>
      </c>
      <c r="AG11" s="162">
        <f t="shared" si="0"/>
        <v>0.16383</v>
      </c>
    </row>
    <row r="12" spans="1:33" ht="15">
      <c r="A12" s="159" t="s">
        <v>507</v>
      </c>
      <c r="B12" s="160" t="s">
        <v>508</v>
      </c>
      <c r="C12" s="160" t="s">
        <v>509</v>
      </c>
      <c r="D12" s="159" t="s">
        <v>510</v>
      </c>
      <c r="E12" s="159">
        <v>42</v>
      </c>
      <c r="F12" s="159">
        <v>3</v>
      </c>
      <c r="G12" s="159" t="s">
        <v>511</v>
      </c>
      <c r="H12" s="159">
        <v>69081</v>
      </c>
      <c r="I12" s="159" t="s">
        <v>512</v>
      </c>
      <c r="J12" s="159" t="s">
        <v>513</v>
      </c>
      <c r="K12" s="159" t="s">
        <v>514</v>
      </c>
      <c r="L12" s="159" t="s">
        <v>515</v>
      </c>
      <c r="M12" s="159" t="s">
        <v>539</v>
      </c>
      <c r="N12" s="159" t="s">
        <v>530</v>
      </c>
      <c r="O12" s="159" t="s">
        <v>531</v>
      </c>
      <c r="P12" s="159" t="s">
        <v>540</v>
      </c>
      <c r="Q12" s="159" t="s">
        <v>511</v>
      </c>
      <c r="R12" s="159">
        <v>69141</v>
      </c>
      <c r="S12" s="159" t="s">
        <v>518</v>
      </c>
      <c r="T12" s="160" t="s">
        <v>173</v>
      </c>
      <c r="U12" s="159" t="s">
        <v>519</v>
      </c>
      <c r="V12" s="159" t="s">
        <v>520</v>
      </c>
      <c r="W12" s="161">
        <v>10</v>
      </c>
      <c r="X12" s="159"/>
      <c r="Y12" s="159"/>
      <c r="Z12" s="159"/>
      <c r="AA12" s="159" t="s">
        <v>44</v>
      </c>
      <c r="AB12" s="159" t="s">
        <v>521</v>
      </c>
      <c r="AC12" s="159" t="s">
        <v>511</v>
      </c>
      <c r="AD12" s="159">
        <v>69002</v>
      </c>
      <c r="AE12" s="162">
        <v>0.298702</v>
      </c>
      <c r="AF12" s="162">
        <v>0</v>
      </c>
      <c r="AG12" s="162">
        <f t="shared" si="0"/>
        <v>0.298702</v>
      </c>
    </row>
    <row r="13" spans="1:33" ht="15">
      <c r="A13" s="159" t="s">
        <v>507</v>
      </c>
      <c r="B13" s="160" t="s">
        <v>508</v>
      </c>
      <c r="C13" s="160" t="s">
        <v>509</v>
      </c>
      <c r="D13" s="159" t="s">
        <v>510</v>
      </c>
      <c r="E13" s="159">
        <v>42</v>
      </c>
      <c r="F13" s="159">
        <v>3</v>
      </c>
      <c r="G13" s="159" t="s">
        <v>511</v>
      </c>
      <c r="H13" s="159">
        <v>69081</v>
      </c>
      <c r="I13" s="159" t="s">
        <v>512</v>
      </c>
      <c r="J13" s="159" t="s">
        <v>513</v>
      </c>
      <c r="K13" s="159" t="s">
        <v>514</v>
      </c>
      <c r="L13" s="159" t="s">
        <v>515</v>
      </c>
      <c r="M13" s="159" t="s">
        <v>541</v>
      </c>
      <c r="N13" s="159" t="s">
        <v>530</v>
      </c>
      <c r="O13" s="159" t="s">
        <v>542</v>
      </c>
      <c r="P13" s="159" t="s">
        <v>543</v>
      </c>
      <c r="Q13" s="159" t="s">
        <v>511</v>
      </c>
      <c r="R13" s="159">
        <v>69141</v>
      </c>
      <c r="S13" s="159" t="s">
        <v>518</v>
      </c>
      <c r="T13" s="160" t="s">
        <v>189</v>
      </c>
      <c r="U13" s="159" t="s">
        <v>519</v>
      </c>
      <c r="V13" s="159" t="s">
        <v>520</v>
      </c>
      <c r="W13" s="161">
        <v>10</v>
      </c>
      <c r="X13" s="159"/>
      <c r="Y13" s="159"/>
      <c r="Z13" s="159"/>
      <c r="AA13" s="159" t="s">
        <v>44</v>
      </c>
      <c r="AB13" s="159" t="s">
        <v>521</v>
      </c>
      <c r="AC13" s="159" t="s">
        <v>511</v>
      </c>
      <c r="AD13" s="159">
        <v>69002</v>
      </c>
      <c r="AE13" s="162">
        <v>0.16937</v>
      </c>
      <c r="AF13" s="162">
        <v>0</v>
      </c>
      <c r="AG13" s="162">
        <f t="shared" si="0"/>
        <v>0.16937</v>
      </c>
    </row>
    <row r="14" spans="1:33" ht="15">
      <c r="A14" s="159" t="s">
        <v>507</v>
      </c>
      <c r="B14" s="160" t="s">
        <v>508</v>
      </c>
      <c r="C14" s="160" t="s">
        <v>509</v>
      </c>
      <c r="D14" s="159" t="s">
        <v>510</v>
      </c>
      <c r="E14" s="159">
        <v>42</v>
      </c>
      <c r="F14" s="159">
        <v>3</v>
      </c>
      <c r="G14" s="159" t="s">
        <v>511</v>
      </c>
      <c r="H14" s="159">
        <v>69081</v>
      </c>
      <c r="I14" s="159" t="s">
        <v>512</v>
      </c>
      <c r="J14" s="159" t="s">
        <v>513</v>
      </c>
      <c r="K14" s="159" t="s">
        <v>514</v>
      </c>
      <c r="L14" s="159" t="s">
        <v>515</v>
      </c>
      <c r="M14" s="159" t="s">
        <v>544</v>
      </c>
      <c r="N14" s="159" t="s">
        <v>530</v>
      </c>
      <c r="O14" s="159" t="s">
        <v>542</v>
      </c>
      <c r="P14" s="159">
        <v>6</v>
      </c>
      <c r="Q14" s="159" t="s">
        <v>511</v>
      </c>
      <c r="R14" s="159">
        <v>69141</v>
      </c>
      <c r="S14" s="159" t="s">
        <v>518</v>
      </c>
      <c r="T14" s="160" t="s">
        <v>193</v>
      </c>
      <c r="U14" s="159" t="s">
        <v>519</v>
      </c>
      <c r="V14" s="159" t="s">
        <v>520</v>
      </c>
      <c r="W14" s="161">
        <v>10</v>
      </c>
      <c r="X14" s="159"/>
      <c r="Y14" s="159"/>
      <c r="Z14" s="159"/>
      <c r="AA14" s="159" t="s">
        <v>44</v>
      </c>
      <c r="AB14" s="159" t="s">
        <v>521</v>
      </c>
      <c r="AC14" s="159" t="s">
        <v>511</v>
      </c>
      <c r="AD14" s="159">
        <v>69002</v>
      </c>
      <c r="AE14" s="162">
        <v>0.167988</v>
      </c>
      <c r="AF14" s="162">
        <v>0</v>
      </c>
      <c r="AG14" s="162">
        <f t="shared" si="0"/>
        <v>0.167988</v>
      </c>
    </row>
    <row r="15" spans="1:33" ht="15">
      <c r="A15" s="159" t="s">
        <v>507</v>
      </c>
      <c r="B15" s="160" t="s">
        <v>508</v>
      </c>
      <c r="C15" s="160" t="s">
        <v>509</v>
      </c>
      <c r="D15" s="159" t="s">
        <v>510</v>
      </c>
      <c r="E15" s="159">
        <v>42</v>
      </c>
      <c r="F15" s="159">
        <v>3</v>
      </c>
      <c r="G15" s="159" t="s">
        <v>511</v>
      </c>
      <c r="H15" s="159">
        <v>69081</v>
      </c>
      <c r="I15" s="159" t="s">
        <v>512</v>
      </c>
      <c r="J15" s="159" t="s">
        <v>513</v>
      </c>
      <c r="K15" s="159" t="s">
        <v>514</v>
      </c>
      <c r="L15" s="159" t="s">
        <v>515</v>
      </c>
      <c r="M15" s="159" t="s">
        <v>545</v>
      </c>
      <c r="N15" s="159" t="s">
        <v>546</v>
      </c>
      <c r="O15" s="159">
        <v>3</v>
      </c>
      <c r="P15" s="159"/>
      <c r="Q15" s="159" t="s">
        <v>511</v>
      </c>
      <c r="R15" s="159">
        <v>69002</v>
      </c>
      <c r="S15" s="159" t="s">
        <v>518</v>
      </c>
      <c r="T15" s="160" t="s">
        <v>547</v>
      </c>
      <c r="U15" s="159" t="s">
        <v>548</v>
      </c>
      <c r="V15" s="159" t="s">
        <v>549</v>
      </c>
      <c r="W15" s="161">
        <v>25</v>
      </c>
      <c r="X15" s="159"/>
      <c r="Y15" s="159"/>
      <c r="Z15" s="159"/>
      <c r="AA15" s="159" t="s">
        <v>44</v>
      </c>
      <c r="AB15" s="159" t="s">
        <v>521</v>
      </c>
      <c r="AC15" s="159" t="s">
        <v>511</v>
      </c>
      <c r="AD15" s="159">
        <v>69002</v>
      </c>
      <c r="AE15" s="162">
        <v>52.737479</v>
      </c>
      <c r="AF15" s="162">
        <v>0</v>
      </c>
      <c r="AG15" s="162">
        <f t="shared" si="0"/>
        <v>52.737479</v>
      </c>
    </row>
    <row r="16" spans="1:33" ht="15">
      <c r="A16" s="159" t="s">
        <v>507</v>
      </c>
      <c r="B16" s="160" t="s">
        <v>508</v>
      </c>
      <c r="C16" s="160" t="s">
        <v>509</v>
      </c>
      <c r="D16" s="159" t="s">
        <v>510</v>
      </c>
      <c r="E16" s="159">
        <v>42</v>
      </c>
      <c r="F16" s="159">
        <v>3</v>
      </c>
      <c r="G16" s="159" t="s">
        <v>511</v>
      </c>
      <c r="H16" s="159">
        <v>69081</v>
      </c>
      <c r="I16" s="159" t="s">
        <v>550</v>
      </c>
      <c r="J16" s="159" t="s">
        <v>513</v>
      </c>
      <c r="K16" s="159" t="s">
        <v>514</v>
      </c>
      <c r="L16" s="159" t="s">
        <v>515</v>
      </c>
      <c r="M16" s="159" t="s">
        <v>391</v>
      </c>
      <c r="N16" s="159" t="s">
        <v>551</v>
      </c>
      <c r="O16" s="159"/>
      <c r="P16" s="159"/>
      <c r="Q16" s="159" t="s">
        <v>552</v>
      </c>
      <c r="R16" s="159">
        <v>69141</v>
      </c>
      <c r="S16" s="159" t="s">
        <v>518</v>
      </c>
      <c r="T16" s="160" t="s">
        <v>390</v>
      </c>
      <c r="U16" s="159" t="s">
        <v>519</v>
      </c>
      <c r="V16" s="159" t="s">
        <v>520</v>
      </c>
      <c r="W16" s="161">
        <v>10</v>
      </c>
      <c r="X16" s="159"/>
      <c r="Y16" s="159"/>
      <c r="Z16" s="159"/>
      <c r="AA16" s="159" t="s">
        <v>44</v>
      </c>
      <c r="AB16" s="159" t="s">
        <v>553</v>
      </c>
      <c r="AC16" s="159" t="s">
        <v>511</v>
      </c>
      <c r="AD16" s="159">
        <v>69002</v>
      </c>
      <c r="AE16" s="163">
        <v>0.167</v>
      </c>
      <c r="AF16" s="163">
        <v>0</v>
      </c>
      <c r="AG16" s="162">
        <f t="shared" si="0"/>
        <v>0.167</v>
      </c>
    </row>
    <row r="17" spans="1:33" ht="15">
      <c r="A17" s="159" t="s">
        <v>507</v>
      </c>
      <c r="B17" s="160" t="s">
        <v>508</v>
      </c>
      <c r="C17" s="160" t="s">
        <v>509</v>
      </c>
      <c r="D17" s="159" t="s">
        <v>510</v>
      </c>
      <c r="E17" s="159">
        <v>42</v>
      </c>
      <c r="F17" s="159">
        <v>3</v>
      </c>
      <c r="G17" s="159" t="s">
        <v>511</v>
      </c>
      <c r="H17" s="159">
        <v>69081</v>
      </c>
      <c r="I17" s="159" t="s">
        <v>550</v>
      </c>
      <c r="J17" s="159" t="s">
        <v>513</v>
      </c>
      <c r="K17" s="159" t="s">
        <v>514</v>
      </c>
      <c r="L17" s="159" t="s">
        <v>515</v>
      </c>
      <c r="M17" s="159" t="s">
        <v>393</v>
      </c>
      <c r="N17" s="159" t="s">
        <v>554</v>
      </c>
      <c r="O17" s="159"/>
      <c r="P17" s="159"/>
      <c r="Q17" s="159" t="s">
        <v>511</v>
      </c>
      <c r="R17" s="159">
        <v>69141</v>
      </c>
      <c r="S17" s="159" t="s">
        <v>518</v>
      </c>
      <c r="T17" s="160" t="s">
        <v>392</v>
      </c>
      <c r="U17" s="159" t="s">
        <v>519</v>
      </c>
      <c r="V17" s="159" t="s">
        <v>520</v>
      </c>
      <c r="W17" s="161">
        <v>10</v>
      </c>
      <c r="X17" s="159"/>
      <c r="Y17" s="159"/>
      <c r="Z17" s="159"/>
      <c r="AA17" s="159" t="s">
        <v>44</v>
      </c>
      <c r="AB17" s="159" t="s">
        <v>555</v>
      </c>
      <c r="AC17" s="159" t="s">
        <v>511</v>
      </c>
      <c r="AD17" s="159">
        <v>69002</v>
      </c>
      <c r="AE17" s="163">
        <v>0.382</v>
      </c>
      <c r="AF17" s="163">
        <v>0</v>
      </c>
      <c r="AG17" s="162">
        <f t="shared" si="0"/>
        <v>0.382</v>
      </c>
    </row>
    <row r="18" spans="1:33" ht="15">
      <c r="A18" s="159" t="s">
        <v>507</v>
      </c>
      <c r="B18" s="160" t="s">
        <v>508</v>
      </c>
      <c r="C18" s="160" t="s">
        <v>509</v>
      </c>
      <c r="D18" s="159" t="s">
        <v>510</v>
      </c>
      <c r="E18" s="159">
        <v>42</v>
      </c>
      <c r="F18" s="159">
        <v>3</v>
      </c>
      <c r="G18" s="159" t="s">
        <v>511</v>
      </c>
      <c r="H18" s="159">
        <v>69081</v>
      </c>
      <c r="I18" s="159" t="s">
        <v>550</v>
      </c>
      <c r="J18" s="159" t="s">
        <v>513</v>
      </c>
      <c r="K18" s="159" t="s">
        <v>514</v>
      </c>
      <c r="L18" s="164" t="s">
        <v>515</v>
      </c>
      <c r="M18" s="159" t="s">
        <v>545</v>
      </c>
      <c r="N18" s="159" t="s">
        <v>546</v>
      </c>
      <c r="O18" s="159" t="s">
        <v>542</v>
      </c>
      <c r="P18" s="159">
        <v>6</v>
      </c>
      <c r="Q18" s="159" t="s">
        <v>511</v>
      </c>
      <c r="R18" s="159">
        <v>69141</v>
      </c>
      <c r="S18" s="159" t="s">
        <v>518</v>
      </c>
      <c r="T18" s="160" t="s">
        <v>556</v>
      </c>
      <c r="U18" s="159" t="s">
        <v>557</v>
      </c>
      <c r="V18" s="159" t="s">
        <v>558</v>
      </c>
      <c r="W18" s="161">
        <v>40</v>
      </c>
      <c r="X18" s="159"/>
      <c r="Y18" s="159"/>
      <c r="Z18" s="159"/>
      <c r="AA18" s="159" t="s">
        <v>44</v>
      </c>
      <c r="AB18" s="159" t="s">
        <v>559</v>
      </c>
      <c r="AC18" s="159" t="s">
        <v>511</v>
      </c>
      <c r="AD18" s="159">
        <v>69002</v>
      </c>
      <c r="AE18" s="163">
        <v>90.393</v>
      </c>
      <c r="AF18" s="163">
        <v>0</v>
      </c>
      <c r="AG18" s="162">
        <f t="shared" si="0"/>
        <v>90.393</v>
      </c>
    </row>
    <row r="19" spans="1:33" ht="15">
      <c r="A19" s="159" t="s">
        <v>507</v>
      </c>
      <c r="B19" s="160" t="s">
        <v>508</v>
      </c>
      <c r="C19" s="160" t="s">
        <v>509</v>
      </c>
      <c r="D19" s="159" t="s">
        <v>510</v>
      </c>
      <c r="E19" s="159">
        <v>42</v>
      </c>
      <c r="F19" s="159">
        <v>3</v>
      </c>
      <c r="G19" s="159" t="s">
        <v>511</v>
      </c>
      <c r="H19" s="159">
        <v>69081</v>
      </c>
      <c r="I19" s="159" t="s">
        <v>550</v>
      </c>
      <c r="J19" s="159" t="s">
        <v>513</v>
      </c>
      <c r="K19" s="159" t="s">
        <v>514</v>
      </c>
      <c r="L19" s="164" t="s">
        <v>515</v>
      </c>
      <c r="M19" s="159" t="s">
        <v>395</v>
      </c>
      <c r="N19" s="159" t="s">
        <v>560</v>
      </c>
      <c r="O19" s="159"/>
      <c r="P19" s="159"/>
      <c r="Q19" s="159" t="s">
        <v>511</v>
      </c>
      <c r="R19" s="159">
        <v>69002</v>
      </c>
      <c r="S19" s="159" t="s">
        <v>518</v>
      </c>
      <c r="T19" s="160" t="s">
        <v>394</v>
      </c>
      <c r="U19" s="159" t="s">
        <v>548</v>
      </c>
      <c r="V19" s="159" t="s">
        <v>558</v>
      </c>
      <c r="W19" s="161">
        <v>40</v>
      </c>
      <c r="X19" s="159"/>
      <c r="Y19" s="159"/>
      <c r="Z19" s="159"/>
      <c r="AA19" s="159" t="s">
        <v>44</v>
      </c>
      <c r="AB19" s="159" t="s">
        <v>561</v>
      </c>
      <c r="AC19" s="159" t="s">
        <v>511</v>
      </c>
      <c r="AD19" s="159">
        <v>69002</v>
      </c>
      <c r="AE19" s="163">
        <v>9.769</v>
      </c>
      <c r="AF19" s="163">
        <v>0</v>
      </c>
      <c r="AG19" s="162">
        <f t="shared" si="0"/>
        <v>9.769</v>
      </c>
    </row>
    <row r="20" spans="1:33" ht="15">
      <c r="A20" s="159" t="s">
        <v>507</v>
      </c>
      <c r="B20" s="160" t="s">
        <v>508</v>
      </c>
      <c r="C20" s="160" t="s">
        <v>509</v>
      </c>
      <c r="D20" s="159" t="s">
        <v>510</v>
      </c>
      <c r="E20" s="159">
        <v>42</v>
      </c>
      <c r="F20" s="159">
        <v>3</v>
      </c>
      <c r="G20" s="159" t="s">
        <v>511</v>
      </c>
      <c r="H20" s="159">
        <v>69081</v>
      </c>
      <c r="I20" s="159" t="s">
        <v>550</v>
      </c>
      <c r="J20" s="159" t="s">
        <v>513</v>
      </c>
      <c r="K20" s="159" t="s">
        <v>514</v>
      </c>
      <c r="L20" s="164" t="s">
        <v>515</v>
      </c>
      <c r="M20" s="159" t="s">
        <v>397</v>
      </c>
      <c r="N20" s="159" t="s">
        <v>562</v>
      </c>
      <c r="O20" s="159"/>
      <c r="P20" s="159"/>
      <c r="Q20" s="159" t="s">
        <v>511</v>
      </c>
      <c r="R20" s="159">
        <v>69002</v>
      </c>
      <c r="S20" s="159" t="s">
        <v>518</v>
      </c>
      <c r="T20" s="160" t="s">
        <v>396</v>
      </c>
      <c r="U20" s="159" t="s">
        <v>557</v>
      </c>
      <c r="V20" s="159" t="s">
        <v>549</v>
      </c>
      <c r="W20" s="161">
        <v>40</v>
      </c>
      <c r="X20" s="159"/>
      <c r="Y20" s="159"/>
      <c r="Z20" s="159"/>
      <c r="AA20" s="159" t="s">
        <v>44</v>
      </c>
      <c r="AB20" s="159" t="s">
        <v>563</v>
      </c>
      <c r="AC20" s="159" t="s">
        <v>511</v>
      </c>
      <c r="AD20" s="159">
        <v>69002</v>
      </c>
      <c r="AE20" s="163">
        <v>6.691</v>
      </c>
      <c r="AF20" s="163">
        <v>0</v>
      </c>
      <c r="AG20" s="162">
        <f t="shared" si="0"/>
        <v>6.691</v>
      </c>
    </row>
    <row r="21" spans="1:33" ht="15">
      <c r="A21" s="159" t="s">
        <v>507</v>
      </c>
      <c r="B21" s="160" t="s">
        <v>508</v>
      </c>
      <c r="C21" s="160" t="s">
        <v>509</v>
      </c>
      <c r="D21" s="159" t="s">
        <v>510</v>
      </c>
      <c r="E21" s="159">
        <v>42</v>
      </c>
      <c r="F21" s="159">
        <v>3</v>
      </c>
      <c r="G21" s="159" t="s">
        <v>511</v>
      </c>
      <c r="H21" s="159">
        <v>69081</v>
      </c>
      <c r="I21" s="159" t="s">
        <v>512</v>
      </c>
      <c r="J21" s="159" t="s">
        <v>513</v>
      </c>
      <c r="K21" s="159" t="s">
        <v>514</v>
      </c>
      <c r="L21" s="159" t="s">
        <v>515</v>
      </c>
      <c r="M21" s="159" t="s">
        <v>233</v>
      </c>
      <c r="N21" s="159" t="s">
        <v>564</v>
      </c>
      <c r="O21" s="159"/>
      <c r="P21" s="159"/>
      <c r="Q21" s="159" t="s">
        <v>511</v>
      </c>
      <c r="R21" s="159">
        <v>69002</v>
      </c>
      <c r="S21" s="159" t="s">
        <v>518</v>
      </c>
      <c r="T21" s="160" t="s">
        <v>231</v>
      </c>
      <c r="U21" s="159" t="s">
        <v>565</v>
      </c>
      <c r="V21" s="159" t="s">
        <v>549</v>
      </c>
      <c r="W21" s="161">
        <v>16</v>
      </c>
      <c r="X21" s="159"/>
      <c r="Y21" s="159"/>
      <c r="Z21" s="159"/>
      <c r="AA21" s="159" t="s">
        <v>232</v>
      </c>
      <c r="AB21" s="159" t="s">
        <v>566</v>
      </c>
      <c r="AC21" s="159" t="s">
        <v>511</v>
      </c>
      <c r="AD21" s="159">
        <v>69081</v>
      </c>
      <c r="AE21" s="162">
        <v>0</v>
      </c>
      <c r="AF21" s="162">
        <v>0</v>
      </c>
      <c r="AG21" s="162">
        <f t="shared" si="0"/>
        <v>0</v>
      </c>
    </row>
    <row r="22" spans="1:33" ht="15">
      <c r="A22" s="159" t="s">
        <v>507</v>
      </c>
      <c r="B22" s="160" t="s">
        <v>508</v>
      </c>
      <c r="C22" s="160" t="s">
        <v>509</v>
      </c>
      <c r="D22" s="159" t="s">
        <v>510</v>
      </c>
      <c r="E22" s="159">
        <v>42</v>
      </c>
      <c r="F22" s="159">
        <v>3</v>
      </c>
      <c r="G22" s="159" t="s">
        <v>511</v>
      </c>
      <c r="H22" s="159">
        <v>69081</v>
      </c>
      <c r="I22" s="159" t="s">
        <v>512</v>
      </c>
      <c r="J22" s="159" t="s">
        <v>513</v>
      </c>
      <c r="K22" s="159" t="s">
        <v>514</v>
      </c>
      <c r="L22" s="159" t="s">
        <v>515</v>
      </c>
      <c r="M22" s="159" t="s">
        <v>567</v>
      </c>
      <c r="N22" s="159" t="s">
        <v>568</v>
      </c>
      <c r="O22" s="159">
        <v>42</v>
      </c>
      <c r="P22" s="159">
        <v>3</v>
      </c>
      <c r="Q22" s="159" t="s">
        <v>511</v>
      </c>
      <c r="R22" s="159">
        <v>69002</v>
      </c>
      <c r="S22" s="159" t="s">
        <v>518</v>
      </c>
      <c r="T22" s="160" t="s">
        <v>569</v>
      </c>
      <c r="U22" s="159" t="s">
        <v>570</v>
      </c>
      <c r="V22" s="159" t="s">
        <v>549</v>
      </c>
      <c r="W22" s="161">
        <v>25</v>
      </c>
      <c r="X22" s="159"/>
      <c r="Y22" s="159"/>
      <c r="Z22" s="159"/>
      <c r="AA22" s="159" t="s">
        <v>571</v>
      </c>
      <c r="AB22" s="159" t="s">
        <v>566</v>
      </c>
      <c r="AC22" s="159" t="s">
        <v>511</v>
      </c>
      <c r="AD22" s="159">
        <v>69081</v>
      </c>
      <c r="AE22" s="162">
        <v>0.024522</v>
      </c>
      <c r="AF22" s="162">
        <v>15.437582</v>
      </c>
      <c r="AG22" s="162">
        <f t="shared" si="0"/>
        <v>15.462104</v>
      </c>
    </row>
    <row r="23" spans="1:33" ht="15">
      <c r="A23" s="159" t="s">
        <v>507</v>
      </c>
      <c r="B23" s="160" t="s">
        <v>508</v>
      </c>
      <c r="C23" s="160" t="s">
        <v>509</v>
      </c>
      <c r="D23" s="159" t="s">
        <v>510</v>
      </c>
      <c r="E23" s="159">
        <v>42</v>
      </c>
      <c r="F23" s="159">
        <v>3</v>
      </c>
      <c r="G23" s="159" t="s">
        <v>511</v>
      </c>
      <c r="H23" s="159">
        <v>69081</v>
      </c>
      <c r="I23" s="159" t="s">
        <v>512</v>
      </c>
      <c r="J23" s="159" t="s">
        <v>513</v>
      </c>
      <c r="K23" s="159" t="s">
        <v>514</v>
      </c>
      <c r="L23" s="159" t="s">
        <v>515</v>
      </c>
      <c r="M23" s="159" t="s">
        <v>572</v>
      </c>
      <c r="N23" s="159" t="s">
        <v>568</v>
      </c>
      <c r="O23" s="159">
        <v>42</v>
      </c>
      <c r="P23" s="159">
        <v>3</v>
      </c>
      <c r="Q23" s="159" t="s">
        <v>511</v>
      </c>
      <c r="R23" s="159">
        <v>69002</v>
      </c>
      <c r="S23" s="159" t="s">
        <v>518</v>
      </c>
      <c r="T23" s="160" t="s">
        <v>573</v>
      </c>
      <c r="U23" s="159" t="s">
        <v>574</v>
      </c>
      <c r="V23" s="159" t="s">
        <v>549</v>
      </c>
      <c r="W23" s="161">
        <v>200</v>
      </c>
      <c r="X23" s="159"/>
      <c r="Y23" s="159"/>
      <c r="Z23" s="159"/>
      <c r="AA23" s="159" t="s">
        <v>571</v>
      </c>
      <c r="AB23" s="159" t="s">
        <v>566</v>
      </c>
      <c r="AC23" s="159" t="s">
        <v>511</v>
      </c>
      <c r="AD23" s="159">
        <v>69081</v>
      </c>
      <c r="AE23" s="162">
        <v>202.896</v>
      </c>
      <c r="AF23" s="162">
        <v>98.125</v>
      </c>
      <c r="AG23" s="162">
        <f t="shared" si="0"/>
        <v>301.02099999999996</v>
      </c>
    </row>
    <row r="24" spans="1:33" ht="15">
      <c r="A24" s="159" t="s">
        <v>507</v>
      </c>
      <c r="B24" s="160" t="s">
        <v>508</v>
      </c>
      <c r="C24" s="160" t="s">
        <v>509</v>
      </c>
      <c r="D24" s="159" t="s">
        <v>510</v>
      </c>
      <c r="E24" s="159">
        <v>42</v>
      </c>
      <c r="F24" s="159">
        <v>3</v>
      </c>
      <c r="G24" s="159" t="s">
        <v>511</v>
      </c>
      <c r="H24" s="159">
        <v>69081</v>
      </c>
      <c r="I24" s="159" t="s">
        <v>512</v>
      </c>
      <c r="J24" s="159" t="s">
        <v>513</v>
      </c>
      <c r="K24" s="159" t="s">
        <v>514</v>
      </c>
      <c r="L24" s="159" t="s">
        <v>515</v>
      </c>
      <c r="M24" s="159" t="s">
        <v>575</v>
      </c>
      <c r="N24" s="159" t="s">
        <v>568</v>
      </c>
      <c r="O24" s="159">
        <v>42</v>
      </c>
      <c r="P24" s="159">
        <v>3</v>
      </c>
      <c r="Q24" s="159" t="s">
        <v>511</v>
      </c>
      <c r="R24" s="159">
        <v>69002</v>
      </c>
      <c r="S24" s="159" t="s">
        <v>518</v>
      </c>
      <c r="T24" s="160" t="s">
        <v>576</v>
      </c>
      <c r="U24" s="159" t="s">
        <v>548</v>
      </c>
      <c r="V24" s="159" t="s">
        <v>549</v>
      </c>
      <c r="W24" s="161">
        <v>40</v>
      </c>
      <c r="X24" s="159"/>
      <c r="Y24" s="159"/>
      <c r="Z24" s="159"/>
      <c r="AA24" s="159" t="s">
        <v>571</v>
      </c>
      <c r="AB24" s="159" t="s">
        <v>566</v>
      </c>
      <c r="AC24" s="159" t="s">
        <v>511</v>
      </c>
      <c r="AD24" s="159">
        <v>69081</v>
      </c>
      <c r="AE24" s="162">
        <v>6.457589</v>
      </c>
      <c r="AF24" s="162">
        <v>0</v>
      </c>
      <c r="AG24" s="162">
        <f t="shared" si="0"/>
        <v>6.457589</v>
      </c>
    </row>
    <row r="25" spans="1:33" ht="15">
      <c r="A25" s="159" t="s">
        <v>507</v>
      </c>
      <c r="B25" s="160" t="s">
        <v>508</v>
      </c>
      <c r="C25" s="160" t="s">
        <v>509</v>
      </c>
      <c r="D25" s="159" t="s">
        <v>510</v>
      </c>
      <c r="E25" s="159">
        <v>42</v>
      </c>
      <c r="F25" s="159">
        <v>3</v>
      </c>
      <c r="G25" s="159" t="s">
        <v>511</v>
      </c>
      <c r="H25" s="159">
        <v>69081</v>
      </c>
      <c r="I25" s="159" t="s">
        <v>512</v>
      </c>
      <c r="J25" s="159" t="s">
        <v>513</v>
      </c>
      <c r="K25" s="159" t="s">
        <v>514</v>
      </c>
      <c r="L25" s="159" t="s">
        <v>515</v>
      </c>
      <c r="M25" s="159" t="s">
        <v>577</v>
      </c>
      <c r="N25" s="159" t="s">
        <v>578</v>
      </c>
      <c r="O25" s="159">
        <v>2192</v>
      </c>
      <c r="P25" s="159">
        <v>2</v>
      </c>
      <c r="Q25" s="159" t="s">
        <v>511</v>
      </c>
      <c r="R25" s="159">
        <v>69081</v>
      </c>
      <c r="S25" s="159" t="s">
        <v>518</v>
      </c>
      <c r="T25" s="160" t="s">
        <v>55</v>
      </c>
      <c r="U25" s="159" t="s">
        <v>579</v>
      </c>
      <c r="V25" s="159" t="s">
        <v>549</v>
      </c>
      <c r="W25" s="161">
        <v>80</v>
      </c>
      <c r="X25" s="159"/>
      <c r="Y25" s="159"/>
      <c r="Z25" s="159"/>
      <c r="AA25" s="159" t="s">
        <v>571</v>
      </c>
      <c r="AB25" s="159" t="s">
        <v>566</v>
      </c>
      <c r="AC25" s="159" t="s">
        <v>511</v>
      </c>
      <c r="AD25" s="159">
        <v>69081</v>
      </c>
      <c r="AE25" s="162">
        <v>41.256</v>
      </c>
      <c r="AF25" s="162">
        <v>17.896</v>
      </c>
      <c r="AG25" s="162">
        <f t="shared" si="0"/>
        <v>59.152</v>
      </c>
    </row>
    <row r="26" spans="1:33" ht="15">
      <c r="A26" s="159" t="s">
        <v>507</v>
      </c>
      <c r="B26" s="160" t="s">
        <v>508</v>
      </c>
      <c r="C26" s="160" t="s">
        <v>509</v>
      </c>
      <c r="D26" s="159" t="s">
        <v>510</v>
      </c>
      <c r="E26" s="159">
        <v>42</v>
      </c>
      <c r="F26" s="159">
        <v>3</v>
      </c>
      <c r="G26" s="159" t="s">
        <v>511</v>
      </c>
      <c r="H26" s="159">
        <v>69081</v>
      </c>
      <c r="I26" s="159" t="s">
        <v>512</v>
      </c>
      <c r="J26" s="159" t="s">
        <v>513</v>
      </c>
      <c r="K26" s="159" t="s">
        <v>514</v>
      </c>
      <c r="L26" s="159" t="s">
        <v>515</v>
      </c>
      <c r="M26" s="159" t="s">
        <v>362</v>
      </c>
      <c r="N26" s="159" t="s">
        <v>580</v>
      </c>
      <c r="O26" s="159" t="s">
        <v>430</v>
      </c>
      <c r="P26" s="159"/>
      <c r="Q26" s="159" t="s">
        <v>511</v>
      </c>
      <c r="R26" s="159">
        <v>69002</v>
      </c>
      <c r="S26" s="159" t="s">
        <v>518</v>
      </c>
      <c r="T26" s="160" t="s">
        <v>361</v>
      </c>
      <c r="U26" s="159" t="s">
        <v>548</v>
      </c>
      <c r="V26" s="159" t="s">
        <v>549</v>
      </c>
      <c r="W26" s="161">
        <v>32</v>
      </c>
      <c r="X26" s="159"/>
      <c r="Y26" s="159"/>
      <c r="Z26" s="159"/>
      <c r="AA26" s="159" t="s">
        <v>237</v>
      </c>
      <c r="AB26" s="159" t="s">
        <v>566</v>
      </c>
      <c r="AC26" s="159" t="s">
        <v>511</v>
      </c>
      <c r="AD26" s="159">
        <v>69081</v>
      </c>
      <c r="AE26" s="162">
        <v>5.901752</v>
      </c>
      <c r="AF26" s="162">
        <v>0</v>
      </c>
      <c r="AG26" s="162">
        <f t="shared" si="0"/>
        <v>5.901752</v>
      </c>
    </row>
    <row r="27" spans="1:33" ht="15">
      <c r="A27" s="159" t="s">
        <v>507</v>
      </c>
      <c r="B27" s="160" t="s">
        <v>508</v>
      </c>
      <c r="C27" s="160" t="s">
        <v>509</v>
      </c>
      <c r="D27" s="159" t="s">
        <v>510</v>
      </c>
      <c r="E27" s="159">
        <v>42</v>
      </c>
      <c r="F27" s="159">
        <v>3</v>
      </c>
      <c r="G27" s="159" t="s">
        <v>511</v>
      </c>
      <c r="H27" s="159">
        <v>69081</v>
      </c>
      <c r="I27" s="159" t="s">
        <v>512</v>
      </c>
      <c r="J27" s="159" t="s">
        <v>513</v>
      </c>
      <c r="K27" s="159" t="s">
        <v>514</v>
      </c>
      <c r="L27" s="159" t="s">
        <v>515</v>
      </c>
      <c r="M27" s="159" t="s">
        <v>368</v>
      </c>
      <c r="N27" s="159" t="s">
        <v>581</v>
      </c>
      <c r="O27" s="159" t="s">
        <v>582</v>
      </c>
      <c r="P27" s="159">
        <v>1</v>
      </c>
      <c r="Q27" s="159" t="s">
        <v>511</v>
      </c>
      <c r="R27" s="159">
        <v>69002</v>
      </c>
      <c r="S27" s="159" t="s">
        <v>518</v>
      </c>
      <c r="T27" s="160" t="s">
        <v>367</v>
      </c>
      <c r="U27" s="159" t="s">
        <v>548</v>
      </c>
      <c r="V27" s="159" t="s">
        <v>549</v>
      </c>
      <c r="W27" s="161">
        <v>25</v>
      </c>
      <c r="X27" s="159"/>
      <c r="Y27" s="159"/>
      <c r="Z27" s="159"/>
      <c r="AA27" s="159" t="s">
        <v>237</v>
      </c>
      <c r="AB27" s="159" t="s">
        <v>566</v>
      </c>
      <c r="AC27" s="159" t="s">
        <v>511</v>
      </c>
      <c r="AD27" s="159">
        <v>69081</v>
      </c>
      <c r="AE27" s="162">
        <v>2.737335</v>
      </c>
      <c r="AF27" s="162">
        <v>0</v>
      </c>
      <c r="AG27" s="162">
        <f t="shared" si="0"/>
        <v>2.737335</v>
      </c>
    </row>
    <row r="28" spans="1:33" ht="15">
      <c r="A28" s="159" t="s">
        <v>507</v>
      </c>
      <c r="B28" s="160" t="s">
        <v>508</v>
      </c>
      <c r="C28" s="160" t="s">
        <v>509</v>
      </c>
      <c r="D28" s="159" t="s">
        <v>510</v>
      </c>
      <c r="E28" s="159">
        <v>42</v>
      </c>
      <c r="F28" s="159">
        <v>3</v>
      </c>
      <c r="G28" s="159" t="s">
        <v>511</v>
      </c>
      <c r="H28" s="159">
        <v>69081</v>
      </c>
      <c r="I28" s="159" t="s">
        <v>512</v>
      </c>
      <c r="J28" s="159" t="s">
        <v>513</v>
      </c>
      <c r="K28" s="159" t="s">
        <v>514</v>
      </c>
      <c r="L28" s="159" t="s">
        <v>515</v>
      </c>
      <c r="M28" s="159" t="s">
        <v>296</v>
      </c>
      <c r="N28" s="159" t="s">
        <v>296</v>
      </c>
      <c r="O28" s="159"/>
      <c r="P28" s="159"/>
      <c r="Q28" s="159" t="s">
        <v>511</v>
      </c>
      <c r="R28" s="159">
        <v>69002</v>
      </c>
      <c r="S28" s="159" t="s">
        <v>518</v>
      </c>
      <c r="T28" s="160" t="s">
        <v>295</v>
      </c>
      <c r="U28" s="159" t="s">
        <v>565</v>
      </c>
      <c r="V28" s="159" t="s">
        <v>549</v>
      </c>
      <c r="W28" s="161">
        <v>40</v>
      </c>
      <c r="X28" s="159"/>
      <c r="Y28" s="159"/>
      <c r="Z28" s="159"/>
      <c r="AA28" s="159" t="s">
        <v>237</v>
      </c>
      <c r="AB28" s="159" t="s">
        <v>566</v>
      </c>
      <c r="AC28" s="159" t="s">
        <v>511</v>
      </c>
      <c r="AD28" s="159">
        <v>69081</v>
      </c>
      <c r="AE28" s="162">
        <v>27.951947</v>
      </c>
      <c r="AF28" s="162">
        <v>0</v>
      </c>
      <c r="AG28" s="162">
        <f t="shared" si="0"/>
        <v>27.951947</v>
      </c>
    </row>
    <row r="29" spans="1:33" ht="15">
      <c r="A29" s="159" t="s">
        <v>507</v>
      </c>
      <c r="B29" s="160" t="s">
        <v>508</v>
      </c>
      <c r="C29" s="160" t="s">
        <v>509</v>
      </c>
      <c r="D29" s="159" t="s">
        <v>510</v>
      </c>
      <c r="E29" s="159">
        <v>42</v>
      </c>
      <c r="F29" s="159">
        <v>3</v>
      </c>
      <c r="G29" s="159" t="s">
        <v>511</v>
      </c>
      <c r="H29" s="159">
        <v>69081</v>
      </c>
      <c r="I29" s="159" t="s">
        <v>512</v>
      </c>
      <c r="J29" s="159" t="s">
        <v>513</v>
      </c>
      <c r="K29" s="159" t="s">
        <v>514</v>
      </c>
      <c r="L29" s="159" t="s">
        <v>515</v>
      </c>
      <c r="M29" s="159" t="s">
        <v>298</v>
      </c>
      <c r="N29" s="159" t="s">
        <v>298</v>
      </c>
      <c r="O29" s="159"/>
      <c r="P29" s="159"/>
      <c r="Q29" s="159" t="s">
        <v>511</v>
      </c>
      <c r="R29" s="159">
        <v>69002</v>
      </c>
      <c r="S29" s="159" t="s">
        <v>518</v>
      </c>
      <c r="T29" s="160" t="s">
        <v>297</v>
      </c>
      <c r="U29" s="159" t="s">
        <v>565</v>
      </c>
      <c r="V29" s="159" t="s">
        <v>549</v>
      </c>
      <c r="W29" s="161">
        <v>32</v>
      </c>
      <c r="X29" s="159"/>
      <c r="Y29" s="159"/>
      <c r="Z29" s="159"/>
      <c r="AA29" s="159" t="s">
        <v>237</v>
      </c>
      <c r="AB29" s="159" t="s">
        <v>566</v>
      </c>
      <c r="AC29" s="159" t="s">
        <v>511</v>
      </c>
      <c r="AD29" s="159">
        <v>69081</v>
      </c>
      <c r="AE29" s="162">
        <v>27.572123</v>
      </c>
      <c r="AF29" s="162">
        <v>0</v>
      </c>
      <c r="AG29" s="162">
        <f t="shared" si="0"/>
        <v>27.572123</v>
      </c>
    </row>
    <row r="30" spans="1:33" ht="15">
      <c r="A30" s="159" t="s">
        <v>507</v>
      </c>
      <c r="B30" s="160" t="s">
        <v>508</v>
      </c>
      <c r="C30" s="160" t="s">
        <v>509</v>
      </c>
      <c r="D30" s="159" t="s">
        <v>510</v>
      </c>
      <c r="E30" s="159">
        <v>42</v>
      </c>
      <c r="F30" s="159">
        <v>3</v>
      </c>
      <c r="G30" s="159" t="s">
        <v>511</v>
      </c>
      <c r="H30" s="159">
        <v>69081</v>
      </c>
      <c r="I30" s="159" t="s">
        <v>512</v>
      </c>
      <c r="J30" s="159" t="s">
        <v>513</v>
      </c>
      <c r="K30" s="159" t="s">
        <v>514</v>
      </c>
      <c r="L30" s="159" t="s">
        <v>515</v>
      </c>
      <c r="M30" s="159" t="s">
        <v>322</v>
      </c>
      <c r="N30" s="159" t="s">
        <v>322</v>
      </c>
      <c r="O30" s="159"/>
      <c r="P30" s="159"/>
      <c r="Q30" s="159" t="s">
        <v>511</v>
      </c>
      <c r="R30" s="159">
        <v>69002</v>
      </c>
      <c r="S30" s="159" t="s">
        <v>518</v>
      </c>
      <c r="T30" s="160" t="s">
        <v>321</v>
      </c>
      <c r="U30" s="159" t="s">
        <v>565</v>
      </c>
      <c r="V30" s="159" t="s">
        <v>549</v>
      </c>
      <c r="W30" s="161">
        <v>25</v>
      </c>
      <c r="X30" s="159"/>
      <c r="Y30" s="159"/>
      <c r="Z30" s="159"/>
      <c r="AA30" s="159" t="s">
        <v>237</v>
      </c>
      <c r="AB30" s="159" t="s">
        <v>566</v>
      </c>
      <c r="AC30" s="159" t="s">
        <v>511</v>
      </c>
      <c r="AD30" s="159">
        <v>69081</v>
      </c>
      <c r="AE30" s="162">
        <v>21.150222</v>
      </c>
      <c r="AF30" s="162">
        <v>0</v>
      </c>
      <c r="AG30" s="162">
        <f t="shared" si="0"/>
        <v>21.150222</v>
      </c>
    </row>
    <row r="31" spans="1:33" ht="15">
      <c r="A31" s="159" t="s">
        <v>507</v>
      </c>
      <c r="B31" s="160" t="s">
        <v>508</v>
      </c>
      <c r="C31" s="160" t="s">
        <v>509</v>
      </c>
      <c r="D31" s="159" t="s">
        <v>510</v>
      </c>
      <c r="E31" s="159">
        <v>42</v>
      </c>
      <c r="F31" s="159">
        <v>3</v>
      </c>
      <c r="G31" s="159" t="s">
        <v>511</v>
      </c>
      <c r="H31" s="159">
        <v>69081</v>
      </c>
      <c r="I31" s="159" t="s">
        <v>512</v>
      </c>
      <c r="J31" s="159" t="s">
        <v>513</v>
      </c>
      <c r="K31" s="159" t="s">
        <v>514</v>
      </c>
      <c r="L31" s="159" t="s">
        <v>515</v>
      </c>
      <c r="M31" s="159" t="s">
        <v>352</v>
      </c>
      <c r="N31" s="159" t="s">
        <v>352</v>
      </c>
      <c r="O31" s="159"/>
      <c r="P31" s="159"/>
      <c r="Q31" s="159" t="s">
        <v>511</v>
      </c>
      <c r="R31" s="159">
        <v>69002</v>
      </c>
      <c r="S31" s="159" t="s">
        <v>518</v>
      </c>
      <c r="T31" s="160" t="s">
        <v>351</v>
      </c>
      <c r="U31" s="159" t="s">
        <v>565</v>
      </c>
      <c r="V31" s="159" t="s">
        <v>549</v>
      </c>
      <c r="W31" s="161">
        <v>16</v>
      </c>
      <c r="X31" s="159"/>
      <c r="Y31" s="159"/>
      <c r="Z31" s="159"/>
      <c r="AA31" s="159" t="s">
        <v>237</v>
      </c>
      <c r="AB31" s="159" t="s">
        <v>566</v>
      </c>
      <c r="AC31" s="159" t="s">
        <v>511</v>
      </c>
      <c r="AD31" s="159">
        <v>69081</v>
      </c>
      <c r="AE31" s="162">
        <v>8.286272</v>
      </c>
      <c r="AF31" s="162">
        <v>0</v>
      </c>
      <c r="AG31" s="162">
        <f t="shared" si="0"/>
        <v>8.286272</v>
      </c>
    </row>
    <row r="32" spans="1:33" ht="15">
      <c r="A32" s="159" t="s">
        <v>507</v>
      </c>
      <c r="B32" s="160" t="s">
        <v>508</v>
      </c>
      <c r="C32" s="160" t="s">
        <v>509</v>
      </c>
      <c r="D32" s="159" t="s">
        <v>510</v>
      </c>
      <c r="E32" s="159">
        <v>42</v>
      </c>
      <c r="F32" s="159">
        <v>3</v>
      </c>
      <c r="G32" s="159" t="s">
        <v>511</v>
      </c>
      <c r="H32" s="159">
        <v>69081</v>
      </c>
      <c r="I32" s="159" t="s">
        <v>512</v>
      </c>
      <c r="J32" s="159" t="s">
        <v>513</v>
      </c>
      <c r="K32" s="159" t="s">
        <v>514</v>
      </c>
      <c r="L32" s="159" t="s">
        <v>515</v>
      </c>
      <c r="M32" s="159" t="s">
        <v>242</v>
      </c>
      <c r="N32" s="159" t="s">
        <v>242</v>
      </c>
      <c r="O32" s="159"/>
      <c r="P32" s="159"/>
      <c r="Q32" s="159" t="s">
        <v>511</v>
      </c>
      <c r="R32" s="159">
        <v>69002</v>
      </c>
      <c r="S32" s="159" t="s">
        <v>518</v>
      </c>
      <c r="T32" s="160" t="s">
        <v>241</v>
      </c>
      <c r="U32" s="159" t="s">
        <v>565</v>
      </c>
      <c r="V32" s="159" t="s">
        <v>549</v>
      </c>
      <c r="W32" s="161">
        <v>50</v>
      </c>
      <c r="X32" s="159"/>
      <c r="Y32" s="159"/>
      <c r="Z32" s="159"/>
      <c r="AA32" s="159" t="s">
        <v>237</v>
      </c>
      <c r="AB32" s="159" t="s">
        <v>566</v>
      </c>
      <c r="AC32" s="159" t="s">
        <v>511</v>
      </c>
      <c r="AD32" s="159">
        <v>69081</v>
      </c>
      <c r="AE32" s="162">
        <v>55.925825</v>
      </c>
      <c r="AF32" s="162">
        <v>0</v>
      </c>
      <c r="AG32" s="162">
        <f t="shared" si="0"/>
        <v>55.925825</v>
      </c>
    </row>
    <row r="33" spans="1:33" ht="15">
      <c r="A33" s="159" t="s">
        <v>507</v>
      </c>
      <c r="B33" s="160" t="s">
        <v>508</v>
      </c>
      <c r="C33" s="160" t="s">
        <v>509</v>
      </c>
      <c r="D33" s="159" t="s">
        <v>510</v>
      </c>
      <c r="E33" s="159">
        <v>42</v>
      </c>
      <c r="F33" s="159">
        <v>3</v>
      </c>
      <c r="G33" s="159" t="s">
        <v>511</v>
      </c>
      <c r="H33" s="159">
        <v>69081</v>
      </c>
      <c r="I33" s="159" t="s">
        <v>512</v>
      </c>
      <c r="J33" s="159" t="s">
        <v>513</v>
      </c>
      <c r="K33" s="159" t="s">
        <v>514</v>
      </c>
      <c r="L33" s="159" t="s">
        <v>515</v>
      </c>
      <c r="M33" s="159" t="s">
        <v>346</v>
      </c>
      <c r="N33" s="159" t="s">
        <v>346</v>
      </c>
      <c r="O33" s="159"/>
      <c r="P33" s="159"/>
      <c r="Q33" s="159" t="s">
        <v>511</v>
      </c>
      <c r="R33" s="159">
        <v>69002</v>
      </c>
      <c r="S33" s="159" t="s">
        <v>518</v>
      </c>
      <c r="T33" s="160" t="s">
        <v>345</v>
      </c>
      <c r="U33" s="159" t="s">
        <v>565</v>
      </c>
      <c r="V33" s="159" t="s">
        <v>549</v>
      </c>
      <c r="W33" s="161">
        <v>16</v>
      </c>
      <c r="X33" s="159"/>
      <c r="Y33" s="159"/>
      <c r="Z33" s="159"/>
      <c r="AA33" s="159" t="s">
        <v>237</v>
      </c>
      <c r="AB33" s="159" t="s">
        <v>566</v>
      </c>
      <c r="AC33" s="159" t="s">
        <v>511</v>
      </c>
      <c r="AD33" s="159">
        <v>69081</v>
      </c>
      <c r="AE33" s="162">
        <v>10.492635</v>
      </c>
      <c r="AF33" s="162">
        <v>0</v>
      </c>
      <c r="AG33" s="162">
        <f t="shared" si="0"/>
        <v>10.492635</v>
      </c>
    </row>
    <row r="34" spans="1:33" ht="15">
      <c r="A34" s="159" t="s">
        <v>507</v>
      </c>
      <c r="B34" s="160" t="s">
        <v>508</v>
      </c>
      <c r="C34" s="160" t="s">
        <v>509</v>
      </c>
      <c r="D34" s="159" t="s">
        <v>510</v>
      </c>
      <c r="E34" s="159">
        <v>42</v>
      </c>
      <c r="F34" s="159">
        <v>3</v>
      </c>
      <c r="G34" s="159" t="s">
        <v>511</v>
      </c>
      <c r="H34" s="159">
        <v>69081</v>
      </c>
      <c r="I34" s="159" t="s">
        <v>512</v>
      </c>
      <c r="J34" s="159" t="s">
        <v>513</v>
      </c>
      <c r="K34" s="159" t="s">
        <v>514</v>
      </c>
      <c r="L34" s="159" t="s">
        <v>515</v>
      </c>
      <c r="M34" s="159" t="s">
        <v>290</v>
      </c>
      <c r="N34" s="159" t="s">
        <v>290</v>
      </c>
      <c r="O34" s="159"/>
      <c r="P34" s="159"/>
      <c r="Q34" s="159" t="s">
        <v>511</v>
      </c>
      <c r="R34" s="159">
        <v>69002</v>
      </c>
      <c r="S34" s="159" t="s">
        <v>518</v>
      </c>
      <c r="T34" s="160" t="s">
        <v>289</v>
      </c>
      <c r="U34" s="159" t="s">
        <v>565</v>
      </c>
      <c r="V34" s="159" t="s">
        <v>549</v>
      </c>
      <c r="W34" s="161">
        <v>50</v>
      </c>
      <c r="X34" s="159"/>
      <c r="Y34" s="159"/>
      <c r="Z34" s="159"/>
      <c r="AA34" s="159" t="s">
        <v>237</v>
      </c>
      <c r="AB34" s="159" t="s">
        <v>566</v>
      </c>
      <c r="AC34" s="159" t="s">
        <v>511</v>
      </c>
      <c r="AD34" s="159">
        <v>69081</v>
      </c>
      <c r="AE34" s="162">
        <v>28.410404</v>
      </c>
      <c r="AF34" s="162">
        <v>0</v>
      </c>
      <c r="AG34" s="162">
        <f t="shared" si="0"/>
        <v>28.410404</v>
      </c>
    </row>
    <row r="35" spans="1:33" ht="15">
      <c r="A35" s="159" t="s">
        <v>507</v>
      </c>
      <c r="B35" s="160" t="s">
        <v>508</v>
      </c>
      <c r="C35" s="160" t="s">
        <v>509</v>
      </c>
      <c r="D35" s="159" t="s">
        <v>510</v>
      </c>
      <c r="E35" s="159">
        <v>42</v>
      </c>
      <c r="F35" s="159">
        <v>3</v>
      </c>
      <c r="G35" s="159" t="s">
        <v>511</v>
      </c>
      <c r="H35" s="159">
        <v>69081</v>
      </c>
      <c r="I35" s="159" t="s">
        <v>512</v>
      </c>
      <c r="J35" s="159" t="s">
        <v>513</v>
      </c>
      <c r="K35" s="159" t="s">
        <v>514</v>
      </c>
      <c r="L35" s="159" t="s">
        <v>515</v>
      </c>
      <c r="M35" s="159" t="s">
        <v>294</v>
      </c>
      <c r="N35" s="159" t="s">
        <v>294</v>
      </c>
      <c r="O35" s="159"/>
      <c r="P35" s="159"/>
      <c r="Q35" s="159" t="s">
        <v>511</v>
      </c>
      <c r="R35" s="159">
        <v>69002</v>
      </c>
      <c r="S35" s="159" t="s">
        <v>518</v>
      </c>
      <c r="T35" s="160" t="s">
        <v>293</v>
      </c>
      <c r="U35" s="159" t="s">
        <v>565</v>
      </c>
      <c r="V35" s="159" t="s">
        <v>549</v>
      </c>
      <c r="W35" s="161">
        <v>40</v>
      </c>
      <c r="X35" s="159"/>
      <c r="Y35" s="159"/>
      <c r="Z35" s="159"/>
      <c r="AA35" s="159" t="s">
        <v>237</v>
      </c>
      <c r="AB35" s="159" t="s">
        <v>566</v>
      </c>
      <c r="AC35" s="159" t="s">
        <v>511</v>
      </c>
      <c r="AD35" s="159">
        <v>69081</v>
      </c>
      <c r="AE35" s="162">
        <v>27.965734</v>
      </c>
      <c r="AF35" s="162">
        <v>0</v>
      </c>
      <c r="AG35" s="162">
        <f t="shared" si="0"/>
        <v>27.965734</v>
      </c>
    </row>
    <row r="36" spans="1:33" ht="15">
      <c r="A36" s="159" t="s">
        <v>507</v>
      </c>
      <c r="B36" s="160" t="s">
        <v>508</v>
      </c>
      <c r="C36" s="160" t="s">
        <v>509</v>
      </c>
      <c r="D36" s="159" t="s">
        <v>510</v>
      </c>
      <c r="E36" s="159">
        <v>42</v>
      </c>
      <c r="F36" s="159">
        <v>3</v>
      </c>
      <c r="G36" s="159" t="s">
        <v>511</v>
      </c>
      <c r="H36" s="159">
        <v>69081</v>
      </c>
      <c r="I36" s="159" t="s">
        <v>512</v>
      </c>
      <c r="J36" s="159" t="s">
        <v>513</v>
      </c>
      <c r="K36" s="159" t="s">
        <v>514</v>
      </c>
      <c r="L36" s="159" t="s">
        <v>515</v>
      </c>
      <c r="M36" s="159" t="s">
        <v>284</v>
      </c>
      <c r="N36" s="159" t="s">
        <v>284</v>
      </c>
      <c r="O36" s="159"/>
      <c r="P36" s="159"/>
      <c r="Q36" s="159" t="s">
        <v>511</v>
      </c>
      <c r="R36" s="159">
        <v>69002</v>
      </c>
      <c r="S36" s="159" t="s">
        <v>518</v>
      </c>
      <c r="T36" s="160" t="s">
        <v>283</v>
      </c>
      <c r="U36" s="159" t="s">
        <v>565</v>
      </c>
      <c r="V36" s="159" t="s">
        <v>549</v>
      </c>
      <c r="W36" s="161">
        <v>32</v>
      </c>
      <c r="X36" s="159"/>
      <c r="Y36" s="159"/>
      <c r="Z36" s="159"/>
      <c r="AA36" s="159" t="s">
        <v>237</v>
      </c>
      <c r="AB36" s="159" t="s">
        <v>566</v>
      </c>
      <c r="AC36" s="159" t="s">
        <v>511</v>
      </c>
      <c r="AD36" s="159">
        <v>69081</v>
      </c>
      <c r="AE36" s="162">
        <v>29.687115</v>
      </c>
      <c r="AF36" s="162">
        <v>0</v>
      </c>
      <c r="AG36" s="162">
        <f t="shared" si="0"/>
        <v>29.687115</v>
      </c>
    </row>
    <row r="37" spans="1:33" ht="15">
      <c r="A37" s="159" t="s">
        <v>507</v>
      </c>
      <c r="B37" s="160" t="s">
        <v>508</v>
      </c>
      <c r="C37" s="160" t="s">
        <v>509</v>
      </c>
      <c r="D37" s="159" t="s">
        <v>510</v>
      </c>
      <c r="E37" s="159">
        <v>42</v>
      </c>
      <c r="F37" s="159">
        <v>3</v>
      </c>
      <c r="G37" s="159" t="s">
        <v>511</v>
      </c>
      <c r="H37" s="159">
        <v>69081</v>
      </c>
      <c r="I37" s="159" t="s">
        <v>512</v>
      </c>
      <c r="J37" s="159" t="s">
        <v>513</v>
      </c>
      <c r="K37" s="159" t="s">
        <v>514</v>
      </c>
      <c r="L37" s="159" t="s">
        <v>515</v>
      </c>
      <c r="M37" s="159" t="s">
        <v>332</v>
      </c>
      <c r="N37" s="159" t="s">
        <v>332</v>
      </c>
      <c r="O37" s="159"/>
      <c r="P37" s="159"/>
      <c r="Q37" s="159" t="s">
        <v>511</v>
      </c>
      <c r="R37" s="159">
        <v>69002</v>
      </c>
      <c r="S37" s="159" t="s">
        <v>518</v>
      </c>
      <c r="T37" s="160" t="s">
        <v>331</v>
      </c>
      <c r="U37" s="159" t="s">
        <v>565</v>
      </c>
      <c r="V37" s="159" t="s">
        <v>549</v>
      </c>
      <c r="W37" s="161">
        <v>20</v>
      </c>
      <c r="X37" s="159"/>
      <c r="Y37" s="159"/>
      <c r="Z37" s="159"/>
      <c r="AA37" s="159" t="s">
        <v>237</v>
      </c>
      <c r="AB37" s="159" t="s">
        <v>566</v>
      </c>
      <c r="AC37" s="159" t="s">
        <v>511</v>
      </c>
      <c r="AD37" s="159">
        <v>69081</v>
      </c>
      <c r="AE37" s="162">
        <v>17.425543</v>
      </c>
      <c r="AF37" s="162">
        <v>0</v>
      </c>
      <c r="AG37" s="162">
        <f t="shared" si="0"/>
        <v>17.425543</v>
      </c>
    </row>
    <row r="38" spans="1:33" ht="15">
      <c r="A38" s="159" t="s">
        <v>507</v>
      </c>
      <c r="B38" s="160" t="s">
        <v>508</v>
      </c>
      <c r="C38" s="160" t="s">
        <v>509</v>
      </c>
      <c r="D38" s="159" t="s">
        <v>510</v>
      </c>
      <c r="E38" s="159">
        <v>42</v>
      </c>
      <c r="F38" s="159">
        <v>3</v>
      </c>
      <c r="G38" s="159" t="s">
        <v>511</v>
      </c>
      <c r="H38" s="159">
        <v>69081</v>
      </c>
      <c r="I38" s="159" t="s">
        <v>512</v>
      </c>
      <c r="J38" s="159" t="s">
        <v>513</v>
      </c>
      <c r="K38" s="159" t="s">
        <v>514</v>
      </c>
      <c r="L38" s="159" t="s">
        <v>515</v>
      </c>
      <c r="M38" s="159" t="s">
        <v>258</v>
      </c>
      <c r="N38" s="159" t="s">
        <v>258</v>
      </c>
      <c r="O38" s="159"/>
      <c r="P38" s="159"/>
      <c r="Q38" s="159" t="s">
        <v>511</v>
      </c>
      <c r="R38" s="159">
        <v>69002</v>
      </c>
      <c r="S38" s="159" t="s">
        <v>518</v>
      </c>
      <c r="T38" s="160" t="s">
        <v>257</v>
      </c>
      <c r="U38" s="159" t="s">
        <v>565</v>
      </c>
      <c r="V38" s="159" t="s">
        <v>549</v>
      </c>
      <c r="W38" s="161">
        <v>40</v>
      </c>
      <c r="X38" s="159"/>
      <c r="Y38" s="159"/>
      <c r="Z38" s="159"/>
      <c r="AA38" s="159" t="s">
        <v>237</v>
      </c>
      <c r="AB38" s="159" t="s">
        <v>566</v>
      </c>
      <c r="AC38" s="159" t="s">
        <v>511</v>
      </c>
      <c r="AD38" s="159">
        <v>69081</v>
      </c>
      <c r="AE38" s="162">
        <v>37.74226</v>
      </c>
      <c r="AF38" s="162">
        <v>0</v>
      </c>
      <c r="AG38" s="162">
        <f t="shared" si="0"/>
        <v>37.74226</v>
      </c>
    </row>
    <row r="39" spans="1:33" ht="15">
      <c r="A39" s="159" t="s">
        <v>507</v>
      </c>
      <c r="B39" s="160" t="s">
        <v>508</v>
      </c>
      <c r="C39" s="160" t="s">
        <v>509</v>
      </c>
      <c r="D39" s="159" t="s">
        <v>510</v>
      </c>
      <c r="E39" s="159">
        <v>42</v>
      </c>
      <c r="F39" s="159">
        <v>3</v>
      </c>
      <c r="G39" s="159" t="s">
        <v>511</v>
      </c>
      <c r="H39" s="159">
        <v>69081</v>
      </c>
      <c r="I39" s="159" t="s">
        <v>512</v>
      </c>
      <c r="J39" s="159" t="s">
        <v>513</v>
      </c>
      <c r="K39" s="159" t="s">
        <v>514</v>
      </c>
      <c r="L39" s="159" t="s">
        <v>515</v>
      </c>
      <c r="M39" s="159" t="s">
        <v>318</v>
      </c>
      <c r="N39" s="159" t="s">
        <v>318</v>
      </c>
      <c r="O39" s="159"/>
      <c r="P39" s="159"/>
      <c r="Q39" s="159" t="s">
        <v>511</v>
      </c>
      <c r="R39" s="159">
        <v>69002</v>
      </c>
      <c r="S39" s="159" t="s">
        <v>518</v>
      </c>
      <c r="T39" s="160" t="s">
        <v>317</v>
      </c>
      <c r="U39" s="159" t="s">
        <v>565</v>
      </c>
      <c r="V39" s="159" t="s">
        <v>549</v>
      </c>
      <c r="W39" s="161">
        <v>20</v>
      </c>
      <c r="X39" s="159"/>
      <c r="Y39" s="159"/>
      <c r="Z39" s="159"/>
      <c r="AA39" s="159" t="s">
        <v>237</v>
      </c>
      <c r="AB39" s="159" t="s">
        <v>566</v>
      </c>
      <c r="AC39" s="159" t="s">
        <v>511</v>
      </c>
      <c r="AD39" s="159">
        <v>69081</v>
      </c>
      <c r="AE39" s="162">
        <v>22.881341</v>
      </c>
      <c r="AF39" s="162">
        <v>0</v>
      </c>
      <c r="AG39" s="162">
        <f t="shared" si="0"/>
        <v>22.881341</v>
      </c>
    </row>
    <row r="40" spans="1:33" ht="15">
      <c r="A40" s="159" t="s">
        <v>507</v>
      </c>
      <c r="B40" s="160" t="s">
        <v>508</v>
      </c>
      <c r="C40" s="160" t="s">
        <v>509</v>
      </c>
      <c r="D40" s="159" t="s">
        <v>510</v>
      </c>
      <c r="E40" s="159">
        <v>42</v>
      </c>
      <c r="F40" s="159">
        <v>3</v>
      </c>
      <c r="G40" s="159" t="s">
        <v>511</v>
      </c>
      <c r="H40" s="159">
        <v>69081</v>
      </c>
      <c r="I40" s="159" t="s">
        <v>512</v>
      </c>
      <c r="J40" s="159" t="s">
        <v>513</v>
      </c>
      <c r="K40" s="159" t="s">
        <v>514</v>
      </c>
      <c r="L40" s="159" t="s">
        <v>515</v>
      </c>
      <c r="M40" s="159" t="s">
        <v>264</v>
      </c>
      <c r="N40" s="159" t="s">
        <v>264</v>
      </c>
      <c r="O40" s="159"/>
      <c r="P40" s="159"/>
      <c r="Q40" s="159" t="s">
        <v>511</v>
      </c>
      <c r="R40" s="159">
        <v>69002</v>
      </c>
      <c r="S40" s="159" t="s">
        <v>518</v>
      </c>
      <c r="T40" s="160" t="s">
        <v>263</v>
      </c>
      <c r="U40" s="159" t="s">
        <v>565</v>
      </c>
      <c r="V40" s="159" t="s">
        <v>549</v>
      </c>
      <c r="W40" s="161">
        <v>32</v>
      </c>
      <c r="X40" s="159"/>
      <c r="Y40" s="159"/>
      <c r="Z40" s="159"/>
      <c r="AA40" s="159" t="s">
        <v>237</v>
      </c>
      <c r="AB40" s="159" t="s">
        <v>566</v>
      </c>
      <c r="AC40" s="159" t="s">
        <v>511</v>
      </c>
      <c r="AD40" s="159">
        <v>69081</v>
      </c>
      <c r="AE40" s="162">
        <v>35.040218</v>
      </c>
      <c r="AF40" s="162">
        <v>0</v>
      </c>
      <c r="AG40" s="162">
        <f t="shared" si="0"/>
        <v>35.040218</v>
      </c>
    </row>
    <row r="41" spans="1:33" ht="15">
      <c r="A41" s="159" t="s">
        <v>507</v>
      </c>
      <c r="B41" s="160" t="s">
        <v>508</v>
      </c>
      <c r="C41" s="160" t="s">
        <v>509</v>
      </c>
      <c r="D41" s="159" t="s">
        <v>510</v>
      </c>
      <c r="E41" s="159">
        <v>42</v>
      </c>
      <c r="F41" s="159">
        <v>3</v>
      </c>
      <c r="G41" s="159" t="s">
        <v>511</v>
      </c>
      <c r="H41" s="159">
        <v>69081</v>
      </c>
      <c r="I41" s="159" t="s">
        <v>512</v>
      </c>
      <c r="J41" s="159" t="s">
        <v>513</v>
      </c>
      <c r="K41" s="159" t="s">
        <v>514</v>
      </c>
      <c r="L41" s="159" t="s">
        <v>515</v>
      </c>
      <c r="M41" s="159" t="s">
        <v>270</v>
      </c>
      <c r="N41" s="159" t="s">
        <v>270</v>
      </c>
      <c r="O41" s="159"/>
      <c r="P41" s="159"/>
      <c r="Q41" s="159" t="s">
        <v>511</v>
      </c>
      <c r="R41" s="159">
        <v>69002</v>
      </c>
      <c r="S41" s="159" t="s">
        <v>518</v>
      </c>
      <c r="T41" s="160" t="s">
        <v>269</v>
      </c>
      <c r="U41" s="159" t="s">
        <v>565</v>
      </c>
      <c r="V41" s="159" t="s">
        <v>549</v>
      </c>
      <c r="W41" s="161">
        <v>50</v>
      </c>
      <c r="X41" s="159"/>
      <c r="Y41" s="159"/>
      <c r="Z41" s="159"/>
      <c r="AA41" s="159" t="s">
        <v>237</v>
      </c>
      <c r="AB41" s="159" t="s">
        <v>566</v>
      </c>
      <c r="AC41" s="159" t="s">
        <v>511</v>
      </c>
      <c r="AD41" s="159">
        <v>69081</v>
      </c>
      <c r="AE41" s="162">
        <v>32.413395</v>
      </c>
      <c r="AF41" s="162">
        <v>0</v>
      </c>
      <c r="AG41" s="162">
        <f t="shared" si="0"/>
        <v>32.413395</v>
      </c>
    </row>
    <row r="42" spans="1:33" ht="15">
      <c r="A42" s="159" t="s">
        <v>507</v>
      </c>
      <c r="B42" s="160" t="s">
        <v>508</v>
      </c>
      <c r="C42" s="160" t="s">
        <v>509</v>
      </c>
      <c r="D42" s="159" t="s">
        <v>510</v>
      </c>
      <c r="E42" s="159">
        <v>42</v>
      </c>
      <c r="F42" s="159">
        <v>3</v>
      </c>
      <c r="G42" s="159" t="s">
        <v>511</v>
      </c>
      <c r="H42" s="159">
        <v>69081</v>
      </c>
      <c r="I42" s="159" t="s">
        <v>512</v>
      </c>
      <c r="J42" s="159" t="s">
        <v>513</v>
      </c>
      <c r="K42" s="159" t="s">
        <v>514</v>
      </c>
      <c r="L42" s="159" t="s">
        <v>515</v>
      </c>
      <c r="M42" s="159" t="s">
        <v>254</v>
      </c>
      <c r="N42" s="159" t="s">
        <v>254</v>
      </c>
      <c r="O42" s="159"/>
      <c r="P42" s="159"/>
      <c r="Q42" s="159" t="s">
        <v>511</v>
      </c>
      <c r="R42" s="159">
        <v>69002</v>
      </c>
      <c r="S42" s="159" t="s">
        <v>518</v>
      </c>
      <c r="T42" s="160" t="s">
        <v>253</v>
      </c>
      <c r="U42" s="159" t="s">
        <v>565</v>
      </c>
      <c r="V42" s="159" t="s">
        <v>549</v>
      </c>
      <c r="W42" s="161">
        <v>25</v>
      </c>
      <c r="X42" s="159"/>
      <c r="Y42" s="159"/>
      <c r="Z42" s="159"/>
      <c r="AA42" s="159" t="s">
        <v>237</v>
      </c>
      <c r="AB42" s="159" t="s">
        <v>566</v>
      </c>
      <c r="AC42" s="159" t="s">
        <v>511</v>
      </c>
      <c r="AD42" s="159">
        <v>69081</v>
      </c>
      <c r="AE42" s="162">
        <v>38.072727</v>
      </c>
      <c r="AF42" s="162">
        <v>0</v>
      </c>
      <c r="AG42" s="162">
        <f t="shared" si="0"/>
        <v>38.072727</v>
      </c>
    </row>
    <row r="43" spans="1:33" ht="15">
      <c r="A43" s="159" t="s">
        <v>507</v>
      </c>
      <c r="B43" s="160" t="s">
        <v>508</v>
      </c>
      <c r="C43" s="160" t="s">
        <v>509</v>
      </c>
      <c r="D43" s="159" t="s">
        <v>510</v>
      </c>
      <c r="E43" s="159">
        <v>42</v>
      </c>
      <c r="F43" s="159">
        <v>3</v>
      </c>
      <c r="G43" s="159" t="s">
        <v>511</v>
      </c>
      <c r="H43" s="159">
        <v>69081</v>
      </c>
      <c r="I43" s="159" t="s">
        <v>512</v>
      </c>
      <c r="J43" s="159" t="s">
        <v>513</v>
      </c>
      <c r="K43" s="159" t="s">
        <v>514</v>
      </c>
      <c r="L43" s="159" t="s">
        <v>515</v>
      </c>
      <c r="M43" s="159" t="s">
        <v>286</v>
      </c>
      <c r="N43" s="159" t="s">
        <v>286</v>
      </c>
      <c r="O43" s="159"/>
      <c r="P43" s="159"/>
      <c r="Q43" s="159" t="s">
        <v>511</v>
      </c>
      <c r="R43" s="159">
        <v>69002</v>
      </c>
      <c r="S43" s="159" t="s">
        <v>518</v>
      </c>
      <c r="T43" s="160" t="s">
        <v>285</v>
      </c>
      <c r="U43" s="159" t="s">
        <v>565</v>
      </c>
      <c r="V43" s="159" t="s">
        <v>549</v>
      </c>
      <c r="W43" s="161">
        <v>32</v>
      </c>
      <c r="X43" s="159"/>
      <c r="Y43" s="159"/>
      <c r="Z43" s="159"/>
      <c r="AA43" s="159" t="s">
        <v>237</v>
      </c>
      <c r="AB43" s="159" t="s">
        <v>566</v>
      </c>
      <c r="AC43" s="159" t="s">
        <v>511</v>
      </c>
      <c r="AD43" s="159">
        <v>69081</v>
      </c>
      <c r="AE43" s="162">
        <v>28.736982</v>
      </c>
      <c r="AF43" s="162">
        <v>0</v>
      </c>
      <c r="AG43" s="162">
        <f t="shared" si="0"/>
        <v>28.736982</v>
      </c>
    </row>
    <row r="44" spans="1:33" ht="15">
      <c r="A44" s="159" t="s">
        <v>507</v>
      </c>
      <c r="B44" s="160" t="s">
        <v>508</v>
      </c>
      <c r="C44" s="160" t="s">
        <v>509</v>
      </c>
      <c r="D44" s="159" t="s">
        <v>510</v>
      </c>
      <c r="E44" s="159">
        <v>42</v>
      </c>
      <c r="F44" s="159">
        <v>3</v>
      </c>
      <c r="G44" s="159" t="s">
        <v>511</v>
      </c>
      <c r="H44" s="159">
        <v>69081</v>
      </c>
      <c r="I44" s="159" t="s">
        <v>512</v>
      </c>
      <c r="J44" s="159" t="s">
        <v>513</v>
      </c>
      <c r="K44" s="159" t="s">
        <v>514</v>
      </c>
      <c r="L44" s="159" t="s">
        <v>515</v>
      </c>
      <c r="M44" s="159" t="s">
        <v>280</v>
      </c>
      <c r="N44" s="159" t="s">
        <v>280</v>
      </c>
      <c r="O44" s="159"/>
      <c r="P44" s="159"/>
      <c r="Q44" s="159" t="s">
        <v>511</v>
      </c>
      <c r="R44" s="159">
        <v>69002</v>
      </c>
      <c r="S44" s="159" t="s">
        <v>518</v>
      </c>
      <c r="T44" s="160" t="s">
        <v>279</v>
      </c>
      <c r="U44" s="159" t="s">
        <v>565</v>
      </c>
      <c r="V44" s="159" t="s">
        <v>549</v>
      </c>
      <c r="W44" s="161">
        <v>40</v>
      </c>
      <c r="X44" s="159"/>
      <c r="Y44" s="159"/>
      <c r="Z44" s="159"/>
      <c r="AA44" s="159" t="s">
        <v>237</v>
      </c>
      <c r="AB44" s="159" t="s">
        <v>566</v>
      </c>
      <c r="AC44" s="159" t="s">
        <v>511</v>
      </c>
      <c r="AD44" s="159">
        <v>69081</v>
      </c>
      <c r="AE44" s="162">
        <v>29.965805</v>
      </c>
      <c r="AF44" s="162">
        <v>0</v>
      </c>
      <c r="AG44" s="162">
        <f t="shared" si="0"/>
        <v>29.965805</v>
      </c>
    </row>
    <row r="45" spans="1:33" ht="15">
      <c r="A45" s="159" t="s">
        <v>507</v>
      </c>
      <c r="B45" s="160" t="s">
        <v>508</v>
      </c>
      <c r="C45" s="160" t="s">
        <v>509</v>
      </c>
      <c r="D45" s="159" t="s">
        <v>510</v>
      </c>
      <c r="E45" s="159">
        <v>42</v>
      </c>
      <c r="F45" s="159">
        <v>3</v>
      </c>
      <c r="G45" s="159" t="s">
        <v>511</v>
      </c>
      <c r="H45" s="159">
        <v>69081</v>
      </c>
      <c r="I45" s="159" t="s">
        <v>512</v>
      </c>
      <c r="J45" s="159" t="s">
        <v>513</v>
      </c>
      <c r="K45" s="159" t="s">
        <v>514</v>
      </c>
      <c r="L45" s="159" t="s">
        <v>515</v>
      </c>
      <c r="M45" s="159" t="s">
        <v>350</v>
      </c>
      <c r="N45" s="159" t="s">
        <v>350</v>
      </c>
      <c r="O45" s="159"/>
      <c r="P45" s="159"/>
      <c r="Q45" s="159" t="s">
        <v>511</v>
      </c>
      <c r="R45" s="159">
        <v>69002</v>
      </c>
      <c r="S45" s="159" t="s">
        <v>518</v>
      </c>
      <c r="T45" s="160" t="s">
        <v>349</v>
      </c>
      <c r="U45" s="159" t="s">
        <v>565</v>
      </c>
      <c r="V45" s="159" t="s">
        <v>549</v>
      </c>
      <c r="W45" s="161">
        <v>25</v>
      </c>
      <c r="X45" s="159"/>
      <c r="Y45" s="159"/>
      <c r="Z45" s="159"/>
      <c r="AA45" s="159" t="s">
        <v>237</v>
      </c>
      <c r="AB45" s="159" t="s">
        <v>566</v>
      </c>
      <c r="AC45" s="159" t="s">
        <v>511</v>
      </c>
      <c r="AD45" s="159">
        <v>69081</v>
      </c>
      <c r="AE45" s="162">
        <v>8.732145</v>
      </c>
      <c r="AF45" s="162">
        <v>0</v>
      </c>
      <c r="AG45" s="162">
        <f t="shared" si="0"/>
        <v>8.732145</v>
      </c>
    </row>
    <row r="46" spans="1:33" ht="15">
      <c r="A46" s="159" t="s">
        <v>507</v>
      </c>
      <c r="B46" s="160" t="s">
        <v>508</v>
      </c>
      <c r="C46" s="160" t="s">
        <v>509</v>
      </c>
      <c r="D46" s="159" t="s">
        <v>510</v>
      </c>
      <c r="E46" s="159">
        <v>42</v>
      </c>
      <c r="F46" s="159">
        <v>3</v>
      </c>
      <c r="G46" s="159" t="s">
        <v>511</v>
      </c>
      <c r="H46" s="159">
        <v>69081</v>
      </c>
      <c r="I46" s="159" t="s">
        <v>512</v>
      </c>
      <c r="J46" s="159" t="s">
        <v>513</v>
      </c>
      <c r="K46" s="159" t="s">
        <v>514</v>
      </c>
      <c r="L46" s="159" t="s">
        <v>515</v>
      </c>
      <c r="M46" s="159" t="s">
        <v>282</v>
      </c>
      <c r="N46" s="159" t="s">
        <v>282</v>
      </c>
      <c r="O46" s="159"/>
      <c r="P46" s="159"/>
      <c r="Q46" s="159" t="s">
        <v>511</v>
      </c>
      <c r="R46" s="159">
        <v>69002</v>
      </c>
      <c r="S46" s="159" t="s">
        <v>518</v>
      </c>
      <c r="T46" s="160" t="s">
        <v>281</v>
      </c>
      <c r="U46" s="159" t="s">
        <v>565</v>
      </c>
      <c r="V46" s="159" t="s">
        <v>549</v>
      </c>
      <c r="W46" s="161">
        <v>40</v>
      </c>
      <c r="X46" s="159"/>
      <c r="Y46" s="159"/>
      <c r="Z46" s="159"/>
      <c r="AA46" s="159" t="s">
        <v>237</v>
      </c>
      <c r="AB46" s="159" t="s">
        <v>566</v>
      </c>
      <c r="AC46" s="159" t="s">
        <v>511</v>
      </c>
      <c r="AD46" s="159">
        <v>69081</v>
      </c>
      <c r="AE46" s="162">
        <v>29.954178</v>
      </c>
      <c r="AF46" s="162">
        <v>0</v>
      </c>
      <c r="AG46" s="162">
        <f t="shared" si="0"/>
        <v>29.954178</v>
      </c>
    </row>
    <row r="47" spans="1:33" ht="15">
      <c r="A47" s="159" t="s">
        <v>507</v>
      </c>
      <c r="B47" s="160" t="s">
        <v>508</v>
      </c>
      <c r="C47" s="160" t="s">
        <v>509</v>
      </c>
      <c r="D47" s="159" t="s">
        <v>510</v>
      </c>
      <c r="E47" s="159">
        <v>42</v>
      </c>
      <c r="F47" s="159">
        <v>3</v>
      </c>
      <c r="G47" s="159" t="s">
        <v>511</v>
      </c>
      <c r="H47" s="159">
        <v>69081</v>
      </c>
      <c r="I47" s="159" t="s">
        <v>512</v>
      </c>
      <c r="J47" s="159" t="s">
        <v>513</v>
      </c>
      <c r="K47" s="159" t="s">
        <v>514</v>
      </c>
      <c r="L47" s="159" t="s">
        <v>515</v>
      </c>
      <c r="M47" s="159" t="s">
        <v>266</v>
      </c>
      <c r="N47" s="159" t="s">
        <v>266</v>
      </c>
      <c r="O47" s="159"/>
      <c r="P47" s="159"/>
      <c r="Q47" s="159" t="s">
        <v>511</v>
      </c>
      <c r="R47" s="159">
        <v>69002</v>
      </c>
      <c r="S47" s="159" t="s">
        <v>518</v>
      </c>
      <c r="T47" s="160" t="s">
        <v>265</v>
      </c>
      <c r="U47" s="159" t="s">
        <v>565</v>
      </c>
      <c r="V47" s="159" t="s">
        <v>549</v>
      </c>
      <c r="W47" s="161">
        <v>32</v>
      </c>
      <c r="X47" s="159"/>
      <c r="Y47" s="159"/>
      <c r="Z47" s="159"/>
      <c r="AA47" s="159" t="s">
        <v>237</v>
      </c>
      <c r="AB47" s="159" t="s">
        <v>566</v>
      </c>
      <c r="AC47" s="159" t="s">
        <v>511</v>
      </c>
      <c r="AD47" s="159">
        <v>69081</v>
      </c>
      <c r="AE47" s="162">
        <v>34.949649</v>
      </c>
      <c r="AF47" s="162">
        <v>0</v>
      </c>
      <c r="AG47" s="162">
        <f t="shared" si="0"/>
        <v>34.949649</v>
      </c>
    </row>
    <row r="48" spans="1:33" ht="15">
      <c r="A48" s="159" t="s">
        <v>507</v>
      </c>
      <c r="B48" s="160" t="s">
        <v>508</v>
      </c>
      <c r="C48" s="160" t="s">
        <v>509</v>
      </c>
      <c r="D48" s="159" t="s">
        <v>510</v>
      </c>
      <c r="E48" s="159">
        <v>42</v>
      </c>
      <c r="F48" s="159">
        <v>3</v>
      </c>
      <c r="G48" s="159" t="s">
        <v>511</v>
      </c>
      <c r="H48" s="159">
        <v>69081</v>
      </c>
      <c r="I48" s="159" t="s">
        <v>512</v>
      </c>
      <c r="J48" s="159" t="s">
        <v>513</v>
      </c>
      <c r="K48" s="159" t="s">
        <v>514</v>
      </c>
      <c r="L48" s="159" t="s">
        <v>515</v>
      </c>
      <c r="M48" s="159" t="s">
        <v>302</v>
      </c>
      <c r="N48" s="159" t="s">
        <v>302</v>
      </c>
      <c r="O48" s="159"/>
      <c r="P48" s="159"/>
      <c r="Q48" s="159" t="s">
        <v>511</v>
      </c>
      <c r="R48" s="159">
        <v>69002</v>
      </c>
      <c r="S48" s="159" t="s">
        <v>518</v>
      </c>
      <c r="T48" s="160" t="s">
        <v>301</v>
      </c>
      <c r="U48" s="159" t="s">
        <v>565</v>
      </c>
      <c r="V48" s="159" t="s">
        <v>549</v>
      </c>
      <c r="W48" s="161">
        <v>25</v>
      </c>
      <c r="X48" s="159"/>
      <c r="Y48" s="159"/>
      <c r="Z48" s="159"/>
      <c r="AA48" s="159" t="s">
        <v>237</v>
      </c>
      <c r="AB48" s="159" t="s">
        <v>566</v>
      </c>
      <c r="AC48" s="159" t="s">
        <v>511</v>
      </c>
      <c r="AD48" s="159">
        <v>69081</v>
      </c>
      <c r="AE48" s="162">
        <v>27.2309</v>
      </c>
      <c r="AF48" s="162">
        <v>0</v>
      </c>
      <c r="AG48" s="162">
        <f t="shared" si="0"/>
        <v>27.2309</v>
      </c>
    </row>
    <row r="49" spans="1:33" ht="15">
      <c r="A49" s="159" t="s">
        <v>507</v>
      </c>
      <c r="B49" s="160" t="s">
        <v>508</v>
      </c>
      <c r="C49" s="160" t="s">
        <v>509</v>
      </c>
      <c r="D49" s="159" t="s">
        <v>510</v>
      </c>
      <c r="E49" s="159">
        <v>42</v>
      </c>
      <c r="F49" s="159">
        <v>3</v>
      </c>
      <c r="G49" s="159" t="s">
        <v>511</v>
      </c>
      <c r="H49" s="159">
        <v>69081</v>
      </c>
      <c r="I49" s="159" t="s">
        <v>512</v>
      </c>
      <c r="J49" s="159" t="s">
        <v>513</v>
      </c>
      <c r="K49" s="159" t="s">
        <v>514</v>
      </c>
      <c r="L49" s="159" t="s">
        <v>515</v>
      </c>
      <c r="M49" s="159" t="s">
        <v>274</v>
      </c>
      <c r="N49" s="159" t="s">
        <v>274</v>
      </c>
      <c r="O49" s="159"/>
      <c r="P49" s="159"/>
      <c r="Q49" s="159" t="s">
        <v>511</v>
      </c>
      <c r="R49" s="159">
        <v>69002</v>
      </c>
      <c r="S49" s="159" t="s">
        <v>518</v>
      </c>
      <c r="T49" s="160" t="s">
        <v>273</v>
      </c>
      <c r="U49" s="159" t="s">
        <v>565</v>
      </c>
      <c r="V49" s="159" t="s">
        <v>549</v>
      </c>
      <c r="W49" s="161">
        <v>32</v>
      </c>
      <c r="X49" s="159"/>
      <c r="Y49" s="159"/>
      <c r="Z49" s="159"/>
      <c r="AA49" s="159" t="s">
        <v>237</v>
      </c>
      <c r="AB49" s="159" t="s">
        <v>566</v>
      </c>
      <c r="AC49" s="159" t="s">
        <v>511</v>
      </c>
      <c r="AD49" s="159">
        <v>69081</v>
      </c>
      <c r="AE49" s="162">
        <v>31.940569</v>
      </c>
      <c r="AF49" s="162">
        <v>0</v>
      </c>
      <c r="AG49" s="162">
        <f t="shared" si="0"/>
        <v>31.940569</v>
      </c>
    </row>
    <row r="50" spans="1:33" ht="15">
      <c r="A50" s="159" t="s">
        <v>507</v>
      </c>
      <c r="B50" s="160" t="s">
        <v>508</v>
      </c>
      <c r="C50" s="160" t="s">
        <v>509</v>
      </c>
      <c r="D50" s="159" t="s">
        <v>510</v>
      </c>
      <c r="E50" s="159">
        <v>42</v>
      </c>
      <c r="F50" s="159">
        <v>3</v>
      </c>
      <c r="G50" s="159" t="s">
        <v>511</v>
      </c>
      <c r="H50" s="159">
        <v>69081</v>
      </c>
      <c r="I50" s="159" t="s">
        <v>512</v>
      </c>
      <c r="J50" s="159" t="s">
        <v>513</v>
      </c>
      <c r="K50" s="159" t="s">
        <v>514</v>
      </c>
      <c r="L50" s="159" t="s">
        <v>515</v>
      </c>
      <c r="M50" s="159" t="s">
        <v>328</v>
      </c>
      <c r="N50" s="159" t="s">
        <v>328</v>
      </c>
      <c r="O50" s="159"/>
      <c r="P50" s="159"/>
      <c r="Q50" s="159" t="s">
        <v>511</v>
      </c>
      <c r="R50" s="159">
        <v>69002</v>
      </c>
      <c r="S50" s="159" t="s">
        <v>518</v>
      </c>
      <c r="T50" s="160" t="s">
        <v>327</v>
      </c>
      <c r="U50" s="159" t="s">
        <v>565</v>
      </c>
      <c r="V50" s="159" t="s">
        <v>549</v>
      </c>
      <c r="W50" s="161">
        <v>20</v>
      </c>
      <c r="X50" s="159"/>
      <c r="Y50" s="159"/>
      <c r="Z50" s="159"/>
      <c r="AA50" s="159" t="s">
        <v>237</v>
      </c>
      <c r="AB50" s="159" t="s">
        <v>566</v>
      </c>
      <c r="AC50" s="159" t="s">
        <v>511</v>
      </c>
      <c r="AD50" s="159">
        <v>69081</v>
      </c>
      <c r="AE50" s="162">
        <v>18.718008</v>
      </c>
      <c r="AF50" s="162">
        <v>0</v>
      </c>
      <c r="AG50" s="162">
        <f t="shared" si="0"/>
        <v>18.718008</v>
      </c>
    </row>
    <row r="51" spans="1:33" ht="15">
      <c r="A51" s="159" t="s">
        <v>507</v>
      </c>
      <c r="B51" s="160" t="s">
        <v>508</v>
      </c>
      <c r="C51" s="160" t="s">
        <v>509</v>
      </c>
      <c r="D51" s="159" t="s">
        <v>510</v>
      </c>
      <c r="E51" s="159">
        <v>42</v>
      </c>
      <c r="F51" s="159">
        <v>3</v>
      </c>
      <c r="G51" s="159" t="s">
        <v>511</v>
      </c>
      <c r="H51" s="159">
        <v>69081</v>
      </c>
      <c r="I51" s="159" t="s">
        <v>512</v>
      </c>
      <c r="J51" s="159" t="s">
        <v>513</v>
      </c>
      <c r="K51" s="159" t="s">
        <v>514</v>
      </c>
      <c r="L51" s="159" t="s">
        <v>515</v>
      </c>
      <c r="M51" s="159" t="s">
        <v>278</v>
      </c>
      <c r="N51" s="159" t="s">
        <v>278</v>
      </c>
      <c r="O51" s="159"/>
      <c r="P51" s="159"/>
      <c r="Q51" s="159" t="s">
        <v>511</v>
      </c>
      <c r="R51" s="159">
        <v>69002</v>
      </c>
      <c r="S51" s="159" t="s">
        <v>518</v>
      </c>
      <c r="T51" s="160" t="s">
        <v>277</v>
      </c>
      <c r="U51" s="159" t="s">
        <v>565</v>
      </c>
      <c r="V51" s="159" t="s">
        <v>549</v>
      </c>
      <c r="W51" s="161">
        <v>50</v>
      </c>
      <c r="X51" s="159"/>
      <c r="Y51" s="159"/>
      <c r="Z51" s="159"/>
      <c r="AA51" s="159" t="s">
        <v>237</v>
      </c>
      <c r="AB51" s="159" t="s">
        <v>566</v>
      </c>
      <c r="AC51" s="159" t="s">
        <v>511</v>
      </c>
      <c r="AD51" s="159">
        <v>69081</v>
      </c>
      <c r="AE51" s="162">
        <v>31.486095</v>
      </c>
      <c r="AF51" s="162">
        <v>0</v>
      </c>
      <c r="AG51" s="162">
        <f t="shared" si="0"/>
        <v>31.486095</v>
      </c>
    </row>
    <row r="52" spans="1:33" ht="15">
      <c r="A52" s="159" t="s">
        <v>507</v>
      </c>
      <c r="B52" s="160" t="s">
        <v>508</v>
      </c>
      <c r="C52" s="160" t="s">
        <v>509</v>
      </c>
      <c r="D52" s="159" t="s">
        <v>510</v>
      </c>
      <c r="E52" s="159">
        <v>42</v>
      </c>
      <c r="F52" s="159">
        <v>3</v>
      </c>
      <c r="G52" s="159" t="s">
        <v>511</v>
      </c>
      <c r="H52" s="159">
        <v>69081</v>
      </c>
      <c r="I52" s="159" t="s">
        <v>512</v>
      </c>
      <c r="J52" s="159" t="s">
        <v>513</v>
      </c>
      <c r="K52" s="159" t="s">
        <v>514</v>
      </c>
      <c r="L52" s="159" t="s">
        <v>515</v>
      </c>
      <c r="M52" s="159" t="s">
        <v>336</v>
      </c>
      <c r="N52" s="159" t="s">
        <v>336</v>
      </c>
      <c r="O52" s="159"/>
      <c r="P52" s="159"/>
      <c r="Q52" s="159" t="s">
        <v>511</v>
      </c>
      <c r="R52" s="159">
        <v>69002</v>
      </c>
      <c r="S52" s="159" t="s">
        <v>518</v>
      </c>
      <c r="T52" s="160" t="s">
        <v>335</v>
      </c>
      <c r="U52" s="159" t="s">
        <v>565</v>
      </c>
      <c r="V52" s="159" t="s">
        <v>549</v>
      </c>
      <c r="W52" s="161">
        <v>16</v>
      </c>
      <c r="X52" s="159"/>
      <c r="Y52" s="159"/>
      <c r="Z52" s="159"/>
      <c r="AA52" s="159" t="s">
        <v>237</v>
      </c>
      <c r="AB52" s="159" t="s">
        <v>566</v>
      </c>
      <c r="AC52" s="159" t="s">
        <v>511</v>
      </c>
      <c r="AD52" s="159">
        <v>69081</v>
      </c>
      <c r="AE52" s="162">
        <v>13.27445</v>
      </c>
      <c r="AF52" s="162">
        <v>0</v>
      </c>
      <c r="AG52" s="162">
        <f t="shared" si="0"/>
        <v>13.27445</v>
      </c>
    </row>
    <row r="53" spans="1:33" ht="15">
      <c r="A53" s="159" t="s">
        <v>507</v>
      </c>
      <c r="B53" s="160" t="s">
        <v>508</v>
      </c>
      <c r="C53" s="160" t="s">
        <v>509</v>
      </c>
      <c r="D53" s="159" t="s">
        <v>510</v>
      </c>
      <c r="E53" s="159">
        <v>42</v>
      </c>
      <c r="F53" s="159">
        <v>3</v>
      </c>
      <c r="G53" s="159" t="s">
        <v>511</v>
      </c>
      <c r="H53" s="159">
        <v>69081</v>
      </c>
      <c r="I53" s="159" t="s">
        <v>512</v>
      </c>
      <c r="J53" s="159" t="s">
        <v>513</v>
      </c>
      <c r="K53" s="159" t="s">
        <v>514</v>
      </c>
      <c r="L53" s="159" t="s">
        <v>515</v>
      </c>
      <c r="M53" s="159" t="s">
        <v>308</v>
      </c>
      <c r="N53" s="159" t="s">
        <v>308</v>
      </c>
      <c r="O53" s="159"/>
      <c r="P53" s="159"/>
      <c r="Q53" s="159" t="s">
        <v>511</v>
      </c>
      <c r="R53" s="159">
        <v>69002</v>
      </c>
      <c r="S53" s="159" t="s">
        <v>518</v>
      </c>
      <c r="T53" s="160" t="s">
        <v>307</v>
      </c>
      <c r="U53" s="159" t="s">
        <v>565</v>
      </c>
      <c r="V53" s="159" t="s">
        <v>549</v>
      </c>
      <c r="W53" s="161">
        <v>25</v>
      </c>
      <c r="X53" s="159"/>
      <c r="Y53" s="159"/>
      <c r="Z53" s="159"/>
      <c r="AA53" s="159" t="s">
        <v>237</v>
      </c>
      <c r="AB53" s="159" t="s">
        <v>566</v>
      </c>
      <c r="AC53" s="159" t="s">
        <v>511</v>
      </c>
      <c r="AD53" s="159">
        <v>69081</v>
      </c>
      <c r="AE53" s="162">
        <v>25.100412</v>
      </c>
      <c r="AF53" s="162">
        <v>0</v>
      </c>
      <c r="AG53" s="162">
        <f t="shared" si="0"/>
        <v>25.100412</v>
      </c>
    </row>
    <row r="54" spans="1:33" ht="15">
      <c r="A54" s="159" t="s">
        <v>507</v>
      </c>
      <c r="B54" s="160" t="s">
        <v>508</v>
      </c>
      <c r="C54" s="160" t="s">
        <v>509</v>
      </c>
      <c r="D54" s="159" t="s">
        <v>510</v>
      </c>
      <c r="E54" s="159">
        <v>42</v>
      </c>
      <c r="F54" s="159">
        <v>3</v>
      </c>
      <c r="G54" s="159" t="s">
        <v>511</v>
      </c>
      <c r="H54" s="159">
        <v>69081</v>
      </c>
      <c r="I54" s="159" t="s">
        <v>512</v>
      </c>
      <c r="J54" s="159" t="s">
        <v>513</v>
      </c>
      <c r="K54" s="159" t="s">
        <v>514</v>
      </c>
      <c r="L54" s="159" t="s">
        <v>515</v>
      </c>
      <c r="M54" s="159" t="s">
        <v>256</v>
      </c>
      <c r="N54" s="159" t="s">
        <v>256</v>
      </c>
      <c r="O54" s="159"/>
      <c r="P54" s="159"/>
      <c r="Q54" s="159" t="s">
        <v>511</v>
      </c>
      <c r="R54" s="159">
        <v>69002</v>
      </c>
      <c r="S54" s="159" t="s">
        <v>518</v>
      </c>
      <c r="T54" s="160" t="s">
        <v>255</v>
      </c>
      <c r="U54" s="159" t="s">
        <v>565</v>
      </c>
      <c r="V54" s="159" t="s">
        <v>549</v>
      </c>
      <c r="W54" s="161">
        <v>25</v>
      </c>
      <c r="X54" s="159"/>
      <c r="Y54" s="159"/>
      <c r="Z54" s="159"/>
      <c r="AA54" s="159" t="s">
        <v>237</v>
      </c>
      <c r="AB54" s="159" t="s">
        <v>566</v>
      </c>
      <c r="AC54" s="159" t="s">
        <v>511</v>
      </c>
      <c r="AD54" s="159">
        <v>69081</v>
      </c>
      <c r="AE54" s="162">
        <v>38.059467</v>
      </c>
      <c r="AF54" s="162">
        <v>0</v>
      </c>
      <c r="AG54" s="162">
        <f t="shared" si="0"/>
        <v>38.059467</v>
      </c>
    </row>
    <row r="55" spans="1:33" ht="15">
      <c r="A55" s="159" t="s">
        <v>507</v>
      </c>
      <c r="B55" s="160" t="s">
        <v>508</v>
      </c>
      <c r="C55" s="160" t="s">
        <v>509</v>
      </c>
      <c r="D55" s="159" t="s">
        <v>510</v>
      </c>
      <c r="E55" s="159">
        <v>42</v>
      </c>
      <c r="F55" s="159">
        <v>3</v>
      </c>
      <c r="G55" s="159" t="s">
        <v>511</v>
      </c>
      <c r="H55" s="159">
        <v>69081</v>
      </c>
      <c r="I55" s="159" t="s">
        <v>512</v>
      </c>
      <c r="J55" s="159" t="s">
        <v>513</v>
      </c>
      <c r="K55" s="159" t="s">
        <v>514</v>
      </c>
      <c r="L55" s="159" t="s">
        <v>515</v>
      </c>
      <c r="M55" s="159" t="s">
        <v>358</v>
      </c>
      <c r="N55" s="159" t="s">
        <v>358</v>
      </c>
      <c r="O55" s="159"/>
      <c r="P55" s="159"/>
      <c r="Q55" s="159" t="s">
        <v>511</v>
      </c>
      <c r="R55" s="159">
        <v>69002</v>
      </c>
      <c r="S55" s="159" t="s">
        <v>518</v>
      </c>
      <c r="T55" s="160" t="s">
        <v>357</v>
      </c>
      <c r="U55" s="159" t="s">
        <v>565</v>
      </c>
      <c r="V55" s="159" t="s">
        <v>549</v>
      </c>
      <c r="W55" s="161">
        <v>16</v>
      </c>
      <c r="X55" s="159"/>
      <c r="Y55" s="159"/>
      <c r="Z55" s="159"/>
      <c r="AA55" s="159" t="s">
        <v>237</v>
      </c>
      <c r="AB55" s="159" t="s">
        <v>566</v>
      </c>
      <c r="AC55" s="159" t="s">
        <v>511</v>
      </c>
      <c r="AD55" s="159">
        <v>69081</v>
      </c>
      <c r="AE55" s="162">
        <v>7.337208</v>
      </c>
      <c r="AF55" s="162">
        <v>0</v>
      </c>
      <c r="AG55" s="162">
        <f t="shared" si="0"/>
        <v>7.337208</v>
      </c>
    </row>
    <row r="56" spans="1:33" ht="15">
      <c r="A56" s="159" t="s">
        <v>507</v>
      </c>
      <c r="B56" s="160" t="s">
        <v>508</v>
      </c>
      <c r="C56" s="160" t="s">
        <v>509</v>
      </c>
      <c r="D56" s="159" t="s">
        <v>510</v>
      </c>
      <c r="E56" s="159">
        <v>42</v>
      </c>
      <c r="F56" s="159">
        <v>3</v>
      </c>
      <c r="G56" s="159" t="s">
        <v>511</v>
      </c>
      <c r="H56" s="159">
        <v>69081</v>
      </c>
      <c r="I56" s="159" t="s">
        <v>512</v>
      </c>
      <c r="J56" s="159" t="s">
        <v>513</v>
      </c>
      <c r="K56" s="159" t="s">
        <v>514</v>
      </c>
      <c r="L56" s="159" t="s">
        <v>515</v>
      </c>
      <c r="M56" s="159" t="s">
        <v>334</v>
      </c>
      <c r="N56" s="159" t="s">
        <v>334</v>
      </c>
      <c r="O56" s="159"/>
      <c r="P56" s="159"/>
      <c r="Q56" s="159" t="s">
        <v>511</v>
      </c>
      <c r="R56" s="159">
        <v>69002</v>
      </c>
      <c r="S56" s="159" t="s">
        <v>518</v>
      </c>
      <c r="T56" s="160" t="s">
        <v>333</v>
      </c>
      <c r="U56" s="159" t="s">
        <v>565</v>
      </c>
      <c r="V56" s="159" t="s">
        <v>549</v>
      </c>
      <c r="W56" s="161">
        <v>16</v>
      </c>
      <c r="X56" s="159"/>
      <c r="Y56" s="159"/>
      <c r="Z56" s="159"/>
      <c r="AA56" s="159" t="s">
        <v>237</v>
      </c>
      <c r="AB56" s="159" t="s">
        <v>566</v>
      </c>
      <c r="AC56" s="159" t="s">
        <v>511</v>
      </c>
      <c r="AD56" s="159">
        <v>69081</v>
      </c>
      <c r="AE56" s="162">
        <v>16.496467</v>
      </c>
      <c r="AF56" s="162">
        <v>0</v>
      </c>
      <c r="AG56" s="162">
        <f t="shared" si="0"/>
        <v>16.496467</v>
      </c>
    </row>
    <row r="57" spans="1:33" ht="15">
      <c r="A57" s="159" t="s">
        <v>507</v>
      </c>
      <c r="B57" s="160" t="s">
        <v>508</v>
      </c>
      <c r="C57" s="160" t="s">
        <v>509</v>
      </c>
      <c r="D57" s="159" t="s">
        <v>510</v>
      </c>
      <c r="E57" s="159">
        <v>42</v>
      </c>
      <c r="F57" s="159">
        <v>3</v>
      </c>
      <c r="G57" s="159" t="s">
        <v>511</v>
      </c>
      <c r="H57" s="159">
        <v>69081</v>
      </c>
      <c r="I57" s="159" t="s">
        <v>512</v>
      </c>
      <c r="J57" s="159" t="s">
        <v>513</v>
      </c>
      <c r="K57" s="159" t="s">
        <v>514</v>
      </c>
      <c r="L57" s="159" t="s">
        <v>515</v>
      </c>
      <c r="M57" s="159" t="s">
        <v>250</v>
      </c>
      <c r="N57" s="159" t="s">
        <v>250</v>
      </c>
      <c r="O57" s="159"/>
      <c r="P57" s="159"/>
      <c r="Q57" s="159" t="s">
        <v>511</v>
      </c>
      <c r="R57" s="159">
        <v>69002</v>
      </c>
      <c r="S57" s="159" t="s">
        <v>518</v>
      </c>
      <c r="T57" s="160" t="s">
        <v>249</v>
      </c>
      <c r="U57" s="159" t="s">
        <v>565</v>
      </c>
      <c r="V57" s="159" t="s">
        <v>549</v>
      </c>
      <c r="W57" s="161">
        <v>25</v>
      </c>
      <c r="X57" s="159"/>
      <c r="Y57" s="159"/>
      <c r="Z57" s="159"/>
      <c r="AA57" s="159" t="s">
        <v>237</v>
      </c>
      <c r="AB57" s="159" t="s">
        <v>566</v>
      </c>
      <c r="AC57" s="159" t="s">
        <v>511</v>
      </c>
      <c r="AD57" s="159">
        <v>69081</v>
      </c>
      <c r="AE57" s="162">
        <v>45.11513</v>
      </c>
      <c r="AF57" s="162">
        <v>0</v>
      </c>
      <c r="AG57" s="162">
        <f t="shared" si="0"/>
        <v>45.11513</v>
      </c>
    </row>
    <row r="58" spans="1:33" ht="15">
      <c r="A58" s="159" t="s">
        <v>507</v>
      </c>
      <c r="B58" s="160" t="s">
        <v>508</v>
      </c>
      <c r="C58" s="160" t="s">
        <v>509</v>
      </c>
      <c r="D58" s="159" t="s">
        <v>510</v>
      </c>
      <c r="E58" s="159">
        <v>42</v>
      </c>
      <c r="F58" s="159">
        <v>3</v>
      </c>
      <c r="G58" s="159" t="s">
        <v>511</v>
      </c>
      <c r="H58" s="159">
        <v>69081</v>
      </c>
      <c r="I58" s="159" t="s">
        <v>512</v>
      </c>
      <c r="J58" s="159" t="s">
        <v>513</v>
      </c>
      <c r="K58" s="159" t="s">
        <v>514</v>
      </c>
      <c r="L58" s="159" t="s">
        <v>515</v>
      </c>
      <c r="M58" s="159" t="s">
        <v>356</v>
      </c>
      <c r="N58" s="159" t="s">
        <v>356</v>
      </c>
      <c r="O58" s="159"/>
      <c r="P58" s="159"/>
      <c r="Q58" s="159" t="s">
        <v>511</v>
      </c>
      <c r="R58" s="159">
        <v>69002</v>
      </c>
      <c r="S58" s="159" t="s">
        <v>518</v>
      </c>
      <c r="T58" s="160" t="s">
        <v>355</v>
      </c>
      <c r="U58" s="159" t="s">
        <v>565</v>
      </c>
      <c r="V58" s="159" t="s">
        <v>549</v>
      </c>
      <c r="W58" s="161">
        <v>20</v>
      </c>
      <c r="X58" s="159"/>
      <c r="Y58" s="159"/>
      <c r="Z58" s="159"/>
      <c r="AA58" s="159" t="s">
        <v>237</v>
      </c>
      <c r="AB58" s="159" t="s">
        <v>566</v>
      </c>
      <c r="AC58" s="159" t="s">
        <v>511</v>
      </c>
      <c r="AD58" s="159">
        <v>69081</v>
      </c>
      <c r="AE58" s="162">
        <v>7.655816</v>
      </c>
      <c r="AF58" s="162">
        <v>0</v>
      </c>
      <c r="AG58" s="162">
        <f t="shared" si="0"/>
        <v>7.655816</v>
      </c>
    </row>
    <row r="59" spans="1:33" ht="15">
      <c r="A59" s="159" t="s">
        <v>507</v>
      </c>
      <c r="B59" s="160" t="s">
        <v>508</v>
      </c>
      <c r="C59" s="160" t="s">
        <v>509</v>
      </c>
      <c r="D59" s="159" t="s">
        <v>510</v>
      </c>
      <c r="E59" s="159">
        <v>42</v>
      </c>
      <c r="F59" s="159">
        <v>3</v>
      </c>
      <c r="G59" s="159" t="s">
        <v>511</v>
      </c>
      <c r="H59" s="159">
        <v>69081</v>
      </c>
      <c r="I59" s="159" t="s">
        <v>512</v>
      </c>
      <c r="J59" s="159" t="s">
        <v>513</v>
      </c>
      <c r="K59" s="159" t="s">
        <v>514</v>
      </c>
      <c r="L59" s="159" t="s">
        <v>515</v>
      </c>
      <c r="M59" s="159" t="s">
        <v>338</v>
      </c>
      <c r="N59" s="159" t="s">
        <v>338</v>
      </c>
      <c r="O59" s="159"/>
      <c r="P59" s="159"/>
      <c r="Q59" s="159" t="s">
        <v>511</v>
      </c>
      <c r="R59" s="159">
        <v>69002</v>
      </c>
      <c r="S59" s="159" t="s">
        <v>518</v>
      </c>
      <c r="T59" s="160" t="s">
        <v>337</v>
      </c>
      <c r="U59" s="159" t="s">
        <v>565</v>
      </c>
      <c r="V59" s="159" t="s">
        <v>549</v>
      </c>
      <c r="W59" s="161">
        <v>25</v>
      </c>
      <c r="X59" s="159"/>
      <c r="Y59" s="159"/>
      <c r="Z59" s="159"/>
      <c r="AA59" s="159" t="s">
        <v>237</v>
      </c>
      <c r="AB59" s="159" t="s">
        <v>566</v>
      </c>
      <c r="AC59" s="159" t="s">
        <v>511</v>
      </c>
      <c r="AD59" s="159">
        <v>69081</v>
      </c>
      <c r="AE59" s="162">
        <v>12.840708</v>
      </c>
      <c r="AF59" s="162">
        <v>0</v>
      </c>
      <c r="AG59" s="162">
        <f t="shared" si="0"/>
        <v>12.840708</v>
      </c>
    </row>
    <row r="60" spans="1:33" ht="15">
      <c r="A60" s="159" t="s">
        <v>507</v>
      </c>
      <c r="B60" s="160" t="s">
        <v>508</v>
      </c>
      <c r="C60" s="160" t="s">
        <v>509</v>
      </c>
      <c r="D60" s="159" t="s">
        <v>510</v>
      </c>
      <c r="E60" s="159">
        <v>42</v>
      </c>
      <c r="F60" s="159">
        <v>3</v>
      </c>
      <c r="G60" s="159" t="s">
        <v>511</v>
      </c>
      <c r="H60" s="159">
        <v>69081</v>
      </c>
      <c r="I60" s="159" t="s">
        <v>512</v>
      </c>
      <c r="J60" s="159" t="s">
        <v>513</v>
      </c>
      <c r="K60" s="159" t="s">
        <v>514</v>
      </c>
      <c r="L60" s="159" t="s">
        <v>515</v>
      </c>
      <c r="M60" s="159" t="s">
        <v>314</v>
      </c>
      <c r="N60" s="159" t="s">
        <v>314</v>
      </c>
      <c r="O60" s="159"/>
      <c r="P60" s="159"/>
      <c r="Q60" s="159" t="s">
        <v>511</v>
      </c>
      <c r="R60" s="159">
        <v>69002</v>
      </c>
      <c r="S60" s="159" t="s">
        <v>518</v>
      </c>
      <c r="T60" s="160" t="s">
        <v>313</v>
      </c>
      <c r="U60" s="159" t="s">
        <v>565</v>
      </c>
      <c r="V60" s="159" t="s">
        <v>549</v>
      </c>
      <c r="W60" s="161">
        <v>32</v>
      </c>
      <c r="X60" s="159"/>
      <c r="Y60" s="159"/>
      <c r="Z60" s="159"/>
      <c r="AA60" s="159" t="s">
        <v>237</v>
      </c>
      <c r="AB60" s="159" t="s">
        <v>566</v>
      </c>
      <c r="AC60" s="159" t="s">
        <v>511</v>
      </c>
      <c r="AD60" s="159">
        <v>69081</v>
      </c>
      <c r="AE60" s="162">
        <v>23.353419</v>
      </c>
      <c r="AF60" s="162">
        <v>0</v>
      </c>
      <c r="AG60" s="162">
        <f t="shared" si="0"/>
        <v>23.353419</v>
      </c>
    </row>
    <row r="61" spans="1:33" ht="15">
      <c r="A61" s="159" t="s">
        <v>507</v>
      </c>
      <c r="B61" s="160" t="s">
        <v>508</v>
      </c>
      <c r="C61" s="160" t="s">
        <v>509</v>
      </c>
      <c r="D61" s="159" t="s">
        <v>510</v>
      </c>
      <c r="E61" s="159">
        <v>42</v>
      </c>
      <c r="F61" s="159">
        <v>3</v>
      </c>
      <c r="G61" s="159" t="s">
        <v>511</v>
      </c>
      <c r="H61" s="159">
        <v>69081</v>
      </c>
      <c r="I61" s="159" t="s">
        <v>512</v>
      </c>
      <c r="J61" s="159" t="s">
        <v>513</v>
      </c>
      <c r="K61" s="159" t="s">
        <v>514</v>
      </c>
      <c r="L61" s="159" t="s">
        <v>515</v>
      </c>
      <c r="M61" s="159" t="s">
        <v>248</v>
      </c>
      <c r="N61" s="159" t="s">
        <v>248</v>
      </c>
      <c r="O61" s="159"/>
      <c r="P61" s="159"/>
      <c r="Q61" s="159" t="s">
        <v>511</v>
      </c>
      <c r="R61" s="159">
        <v>69002</v>
      </c>
      <c r="S61" s="159" t="s">
        <v>518</v>
      </c>
      <c r="T61" s="160" t="s">
        <v>247</v>
      </c>
      <c r="U61" s="159" t="s">
        <v>565</v>
      </c>
      <c r="V61" s="159" t="s">
        <v>549</v>
      </c>
      <c r="W61" s="161">
        <v>50</v>
      </c>
      <c r="X61" s="159"/>
      <c r="Y61" s="159"/>
      <c r="Z61" s="159"/>
      <c r="AA61" s="159" t="s">
        <v>237</v>
      </c>
      <c r="AB61" s="159" t="s">
        <v>566</v>
      </c>
      <c r="AC61" s="159" t="s">
        <v>511</v>
      </c>
      <c r="AD61" s="159">
        <v>69081</v>
      </c>
      <c r="AE61" s="162">
        <v>48.66711</v>
      </c>
      <c r="AF61" s="162">
        <v>0</v>
      </c>
      <c r="AG61" s="162">
        <f t="shared" si="0"/>
        <v>48.66711</v>
      </c>
    </row>
    <row r="62" spans="1:33" ht="15">
      <c r="A62" s="159" t="s">
        <v>507</v>
      </c>
      <c r="B62" s="160" t="s">
        <v>508</v>
      </c>
      <c r="C62" s="160" t="s">
        <v>509</v>
      </c>
      <c r="D62" s="159" t="s">
        <v>510</v>
      </c>
      <c r="E62" s="159">
        <v>42</v>
      </c>
      <c r="F62" s="159">
        <v>3</v>
      </c>
      <c r="G62" s="159" t="s">
        <v>511</v>
      </c>
      <c r="H62" s="159">
        <v>69081</v>
      </c>
      <c r="I62" s="159" t="s">
        <v>512</v>
      </c>
      <c r="J62" s="159" t="s">
        <v>513</v>
      </c>
      <c r="K62" s="159" t="s">
        <v>514</v>
      </c>
      <c r="L62" s="159" t="s">
        <v>515</v>
      </c>
      <c r="M62" s="159" t="s">
        <v>260</v>
      </c>
      <c r="N62" s="159" t="s">
        <v>260</v>
      </c>
      <c r="O62" s="159"/>
      <c r="P62" s="159"/>
      <c r="Q62" s="159" t="s">
        <v>511</v>
      </c>
      <c r="R62" s="159">
        <v>69002</v>
      </c>
      <c r="S62" s="159" t="s">
        <v>518</v>
      </c>
      <c r="T62" s="160" t="s">
        <v>259</v>
      </c>
      <c r="U62" s="159" t="s">
        <v>565</v>
      </c>
      <c r="V62" s="159" t="s">
        <v>549</v>
      </c>
      <c r="W62" s="161">
        <v>40</v>
      </c>
      <c r="X62" s="159"/>
      <c r="Y62" s="159"/>
      <c r="Z62" s="159"/>
      <c r="AA62" s="159" t="s">
        <v>237</v>
      </c>
      <c r="AB62" s="159" t="s">
        <v>566</v>
      </c>
      <c r="AC62" s="159" t="s">
        <v>511</v>
      </c>
      <c r="AD62" s="159">
        <v>69081</v>
      </c>
      <c r="AE62" s="162">
        <v>35.585103</v>
      </c>
      <c r="AF62" s="162">
        <v>0</v>
      </c>
      <c r="AG62" s="162">
        <f t="shared" si="0"/>
        <v>35.585103</v>
      </c>
    </row>
    <row r="63" spans="1:33" ht="15">
      <c r="A63" s="159" t="s">
        <v>507</v>
      </c>
      <c r="B63" s="160" t="s">
        <v>508</v>
      </c>
      <c r="C63" s="160" t="s">
        <v>509</v>
      </c>
      <c r="D63" s="159" t="s">
        <v>510</v>
      </c>
      <c r="E63" s="159">
        <v>42</v>
      </c>
      <c r="F63" s="159">
        <v>3</v>
      </c>
      <c r="G63" s="159" t="s">
        <v>511</v>
      </c>
      <c r="H63" s="159">
        <v>69081</v>
      </c>
      <c r="I63" s="159" t="s">
        <v>512</v>
      </c>
      <c r="J63" s="159" t="s">
        <v>513</v>
      </c>
      <c r="K63" s="159" t="s">
        <v>514</v>
      </c>
      <c r="L63" s="159" t="s">
        <v>515</v>
      </c>
      <c r="M63" s="159" t="s">
        <v>304</v>
      </c>
      <c r="N63" s="159" t="s">
        <v>304</v>
      </c>
      <c r="O63" s="159"/>
      <c r="P63" s="159"/>
      <c r="Q63" s="159" t="s">
        <v>511</v>
      </c>
      <c r="R63" s="159">
        <v>69002</v>
      </c>
      <c r="S63" s="159" t="s">
        <v>518</v>
      </c>
      <c r="T63" s="160" t="s">
        <v>303</v>
      </c>
      <c r="U63" s="159" t="s">
        <v>565</v>
      </c>
      <c r="V63" s="159" t="s">
        <v>549</v>
      </c>
      <c r="W63" s="161">
        <v>32</v>
      </c>
      <c r="X63" s="159"/>
      <c r="Y63" s="159"/>
      <c r="Z63" s="159"/>
      <c r="AA63" s="159" t="s">
        <v>237</v>
      </c>
      <c r="AB63" s="159" t="s">
        <v>566</v>
      </c>
      <c r="AC63" s="159" t="s">
        <v>511</v>
      </c>
      <c r="AD63" s="159">
        <v>69081</v>
      </c>
      <c r="AE63" s="162">
        <v>25.350594</v>
      </c>
      <c r="AF63" s="162">
        <v>0</v>
      </c>
      <c r="AG63" s="162">
        <f t="shared" si="0"/>
        <v>25.350594</v>
      </c>
    </row>
    <row r="64" spans="1:33" ht="15">
      <c r="A64" s="159" t="s">
        <v>507</v>
      </c>
      <c r="B64" s="160" t="s">
        <v>508</v>
      </c>
      <c r="C64" s="160" t="s">
        <v>509</v>
      </c>
      <c r="D64" s="159" t="s">
        <v>510</v>
      </c>
      <c r="E64" s="159">
        <v>42</v>
      </c>
      <c r="F64" s="159">
        <v>3</v>
      </c>
      <c r="G64" s="159" t="s">
        <v>511</v>
      </c>
      <c r="H64" s="159">
        <v>69081</v>
      </c>
      <c r="I64" s="159" t="s">
        <v>512</v>
      </c>
      <c r="J64" s="159" t="s">
        <v>513</v>
      </c>
      <c r="K64" s="159" t="s">
        <v>514</v>
      </c>
      <c r="L64" s="159" t="s">
        <v>515</v>
      </c>
      <c r="M64" s="159" t="s">
        <v>272</v>
      </c>
      <c r="N64" s="159" t="s">
        <v>272</v>
      </c>
      <c r="O64" s="159"/>
      <c r="P64" s="159"/>
      <c r="Q64" s="159" t="s">
        <v>511</v>
      </c>
      <c r="R64" s="159">
        <v>69002</v>
      </c>
      <c r="S64" s="159" t="s">
        <v>518</v>
      </c>
      <c r="T64" s="160" t="s">
        <v>271</v>
      </c>
      <c r="U64" s="159" t="s">
        <v>565</v>
      </c>
      <c r="V64" s="159" t="s">
        <v>549</v>
      </c>
      <c r="W64" s="161">
        <v>40</v>
      </c>
      <c r="X64" s="159"/>
      <c r="Y64" s="159"/>
      <c r="Z64" s="159"/>
      <c r="AA64" s="159" t="s">
        <v>237</v>
      </c>
      <c r="AB64" s="159" t="s">
        <v>566</v>
      </c>
      <c r="AC64" s="159" t="s">
        <v>511</v>
      </c>
      <c r="AD64" s="159">
        <v>69081</v>
      </c>
      <c r="AE64" s="162">
        <v>32.185185</v>
      </c>
      <c r="AF64" s="162">
        <v>0</v>
      </c>
      <c r="AG64" s="162">
        <f t="shared" si="0"/>
        <v>32.185185</v>
      </c>
    </row>
    <row r="65" spans="1:33" ht="15">
      <c r="A65" s="159" t="s">
        <v>507</v>
      </c>
      <c r="B65" s="160" t="s">
        <v>508</v>
      </c>
      <c r="C65" s="160" t="s">
        <v>509</v>
      </c>
      <c r="D65" s="159" t="s">
        <v>510</v>
      </c>
      <c r="E65" s="159">
        <v>42</v>
      </c>
      <c r="F65" s="159">
        <v>3</v>
      </c>
      <c r="G65" s="159" t="s">
        <v>511</v>
      </c>
      <c r="H65" s="159">
        <v>69081</v>
      </c>
      <c r="I65" s="159" t="s">
        <v>512</v>
      </c>
      <c r="J65" s="159" t="s">
        <v>513</v>
      </c>
      <c r="K65" s="159" t="s">
        <v>514</v>
      </c>
      <c r="L65" s="159" t="s">
        <v>515</v>
      </c>
      <c r="M65" s="159" t="s">
        <v>312</v>
      </c>
      <c r="N65" s="159" t="s">
        <v>312</v>
      </c>
      <c r="O65" s="159"/>
      <c r="P65" s="159"/>
      <c r="Q65" s="159" t="s">
        <v>511</v>
      </c>
      <c r="R65" s="159">
        <v>69002</v>
      </c>
      <c r="S65" s="159" t="s">
        <v>518</v>
      </c>
      <c r="T65" s="160" t="s">
        <v>311</v>
      </c>
      <c r="U65" s="159" t="s">
        <v>565</v>
      </c>
      <c r="V65" s="159" t="s">
        <v>549</v>
      </c>
      <c r="W65" s="161">
        <v>32</v>
      </c>
      <c r="X65" s="159"/>
      <c r="Y65" s="159"/>
      <c r="Z65" s="159"/>
      <c r="AA65" s="159" t="s">
        <v>237</v>
      </c>
      <c r="AB65" s="159" t="s">
        <v>566</v>
      </c>
      <c r="AC65" s="159" t="s">
        <v>511</v>
      </c>
      <c r="AD65" s="159">
        <v>69081</v>
      </c>
      <c r="AE65" s="162">
        <v>23.710519</v>
      </c>
      <c r="AF65" s="162">
        <v>0</v>
      </c>
      <c r="AG65" s="162">
        <f t="shared" si="0"/>
        <v>23.710519</v>
      </c>
    </row>
    <row r="66" spans="1:33" ht="15">
      <c r="A66" s="159" t="s">
        <v>507</v>
      </c>
      <c r="B66" s="160" t="s">
        <v>508</v>
      </c>
      <c r="C66" s="160" t="s">
        <v>509</v>
      </c>
      <c r="D66" s="159" t="s">
        <v>510</v>
      </c>
      <c r="E66" s="159">
        <v>42</v>
      </c>
      <c r="F66" s="159">
        <v>3</v>
      </c>
      <c r="G66" s="159" t="s">
        <v>511</v>
      </c>
      <c r="H66" s="159">
        <v>69081</v>
      </c>
      <c r="I66" s="159" t="s">
        <v>512</v>
      </c>
      <c r="J66" s="159" t="s">
        <v>513</v>
      </c>
      <c r="K66" s="159" t="s">
        <v>514</v>
      </c>
      <c r="L66" s="159" t="s">
        <v>515</v>
      </c>
      <c r="M66" s="159" t="s">
        <v>300</v>
      </c>
      <c r="N66" s="159" t="s">
        <v>300</v>
      </c>
      <c r="O66" s="159"/>
      <c r="P66" s="159"/>
      <c r="Q66" s="159" t="s">
        <v>511</v>
      </c>
      <c r="R66" s="159">
        <v>69002</v>
      </c>
      <c r="S66" s="159" t="s">
        <v>518</v>
      </c>
      <c r="T66" s="160" t="s">
        <v>299</v>
      </c>
      <c r="U66" s="159" t="s">
        <v>565</v>
      </c>
      <c r="V66" s="159" t="s">
        <v>549</v>
      </c>
      <c r="W66" s="161">
        <v>40</v>
      </c>
      <c r="X66" s="159"/>
      <c r="Y66" s="159"/>
      <c r="Z66" s="159"/>
      <c r="AA66" s="159" t="s">
        <v>237</v>
      </c>
      <c r="AB66" s="159" t="s">
        <v>566</v>
      </c>
      <c r="AC66" s="159" t="s">
        <v>511</v>
      </c>
      <c r="AD66" s="159">
        <v>69081</v>
      </c>
      <c r="AE66" s="162">
        <v>27.262125</v>
      </c>
      <c r="AF66" s="162">
        <v>0</v>
      </c>
      <c r="AG66" s="162">
        <f t="shared" si="0"/>
        <v>27.262125</v>
      </c>
    </row>
    <row r="67" spans="1:33" ht="15">
      <c r="A67" s="159" t="s">
        <v>507</v>
      </c>
      <c r="B67" s="160" t="s">
        <v>508</v>
      </c>
      <c r="C67" s="160" t="s">
        <v>509</v>
      </c>
      <c r="D67" s="159" t="s">
        <v>510</v>
      </c>
      <c r="E67" s="159">
        <v>42</v>
      </c>
      <c r="F67" s="159">
        <v>3</v>
      </c>
      <c r="G67" s="159" t="s">
        <v>511</v>
      </c>
      <c r="H67" s="159">
        <v>69081</v>
      </c>
      <c r="I67" s="159" t="s">
        <v>512</v>
      </c>
      <c r="J67" s="159" t="s">
        <v>513</v>
      </c>
      <c r="K67" s="159" t="s">
        <v>514</v>
      </c>
      <c r="L67" s="159" t="s">
        <v>515</v>
      </c>
      <c r="M67" s="159" t="s">
        <v>316</v>
      </c>
      <c r="N67" s="159" t="s">
        <v>316</v>
      </c>
      <c r="O67" s="159"/>
      <c r="P67" s="159"/>
      <c r="Q67" s="159" t="s">
        <v>511</v>
      </c>
      <c r="R67" s="159">
        <v>69002</v>
      </c>
      <c r="S67" s="159" t="s">
        <v>518</v>
      </c>
      <c r="T67" s="160" t="s">
        <v>315</v>
      </c>
      <c r="U67" s="159" t="s">
        <v>565</v>
      </c>
      <c r="V67" s="159" t="s">
        <v>549</v>
      </c>
      <c r="W67" s="161">
        <v>25</v>
      </c>
      <c r="X67" s="159"/>
      <c r="Y67" s="159"/>
      <c r="Z67" s="159"/>
      <c r="AA67" s="159" t="s">
        <v>237</v>
      </c>
      <c r="AB67" s="159" t="s">
        <v>566</v>
      </c>
      <c r="AC67" s="159" t="s">
        <v>511</v>
      </c>
      <c r="AD67" s="159">
        <v>69081</v>
      </c>
      <c r="AE67" s="162">
        <v>22.989583</v>
      </c>
      <c r="AF67" s="162">
        <v>0</v>
      </c>
      <c r="AG67" s="162">
        <f t="shared" si="0"/>
        <v>22.989583</v>
      </c>
    </row>
    <row r="68" spans="1:33" ht="15">
      <c r="A68" s="159" t="s">
        <v>507</v>
      </c>
      <c r="B68" s="160" t="s">
        <v>508</v>
      </c>
      <c r="C68" s="160" t="s">
        <v>509</v>
      </c>
      <c r="D68" s="159" t="s">
        <v>510</v>
      </c>
      <c r="E68" s="159">
        <v>42</v>
      </c>
      <c r="F68" s="159">
        <v>3</v>
      </c>
      <c r="G68" s="159" t="s">
        <v>511</v>
      </c>
      <c r="H68" s="159">
        <v>69081</v>
      </c>
      <c r="I68" s="159" t="s">
        <v>512</v>
      </c>
      <c r="J68" s="159" t="s">
        <v>513</v>
      </c>
      <c r="K68" s="159" t="s">
        <v>514</v>
      </c>
      <c r="L68" s="159" t="s">
        <v>515</v>
      </c>
      <c r="M68" s="159" t="s">
        <v>360</v>
      </c>
      <c r="N68" s="159" t="s">
        <v>360</v>
      </c>
      <c r="O68" s="159"/>
      <c r="P68" s="159"/>
      <c r="Q68" s="159" t="s">
        <v>511</v>
      </c>
      <c r="R68" s="159">
        <v>69002</v>
      </c>
      <c r="S68" s="159" t="s">
        <v>518</v>
      </c>
      <c r="T68" s="160" t="s">
        <v>359</v>
      </c>
      <c r="U68" s="159" t="s">
        <v>565</v>
      </c>
      <c r="V68" s="159" t="s">
        <v>549</v>
      </c>
      <c r="W68" s="161">
        <v>16</v>
      </c>
      <c r="X68" s="159"/>
      <c r="Y68" s="159"/>
      <c r="Z68" s="159"/>
      <c r="AA68" s="159" t="s">
        <v>237</v>
      </c>
      <c r="AB68" s="159" t="s">
        <v>566</v>
      </c>
      <c r="AC68" s="159" t="s">
        <v>511</v>
      </c>
      <c r="AD68" s="159">
        <v>69081</v>
      </c>
      <c r="AE68" s="162">
        <v>6.340876</v>
      </c>
      <c r="AF68" s="162">
        <v>0</v>
      </c>
      <c r="AG68" s="162">
        <f t="shared" si="0"/>
        <v>6.340876</v>
      </c>
    </row>
    <row r="69" spans="1:33" ht="15">
      <c r="A69" s="159" t="s">
        <v>507</v>
      </c>
      <c r="B69" s="160" t="s">
        <v>508</v>
      </c>
      <c r="C69" s="160" t="s">
        <v>509</v>
      </c>
      <c r="D69" s="159" t="s">
        <v>510</v>
      </c>
      <c r="E69" s="159">
        <v>42</v>
      </c>
      <c r="F69" s="159">
        <v>3</v>
      </c>
      <c r="G69" s="159" t="s">
        <v>511</v>
      </c>
      <c r="H69" s="159">
        <v>69081</v>
      </c>
      <c r="I69" s="159" t="s">
        <v>512</v>
      </c>
      <c r="J69" s="159" t="s">
        <v>513</v>
      </c>
      <c r="K69" s="159" t="s">
        <v>514</v>
      </c>
      <c r="L69" s="159" t="s">
        <v>515</v>
      </c>
      <c r="M69" s="159" t="s">
        <v>326</v>
      </c>
      <c r="N69" s="159" t="s">
        <v>326</v>
      </c>
      <c r="O69" s="159"/>
      <c r="P69" s="159"/>
      <c r="Q69" s="159" t="s">
        <v>511</v>
      </c>
      <c r="R69" s="159">
        <v>69002</v>
      </c>
      <c r="S69" s="159" t="s">
        <v>518</v>
      </c>
      <c r="T69" s="160" t="s">
        <v>325</v>
      </c>
      <c r="U69" s="159" t="s">
        <v>565</v>
      </c>
      <c r="V69" s="159" t="s">
        <v>549</v>
      </c>
      <c r="W69" s="161">
        <v>16</v>
      </c>
      <c r="X69" s="159"/>
      <c r="Y69" s="159"/>
      <c r="Z69" s="159"/>
      <c r="AA69" s="159" t="s">
        <v>237</v>
      </c>
      <c r="AB69" s="159" t="s">
        <v>566</v>
      </c>
      <c r="AC69" s="159" t="s">
        <v>511</v>
      </c>
      <c r="AD69" s="159">
        <v>69081</v>
      </c>
      <c r="AE69" s="162">
        <v>20.817625</v>
      </c>
      <c r="AF69" s="162">
        <v>0</v>
      </c>
      <c r="AG69" s="162">
        <f t="shared" si="0"/>
        <v>20.817625</v>
      </c>
    </row>
    <row r="70" spans="1:33" ht="15">
      <c r="A70" s="159" t="s">
        <v>507</v>
      </c>
      <c r="B70" s="160" t="s">
        <v>508</v>
      </c>
      <c r="C70" s="160" t="s">
        <v>509</v>
      </c>
      <c r="D70" s="159" t="s">
        <v>510</v>
      </c>
      <c r="E70" s="159">
        <v>42</v>
      </c>
      <c r="F70" s="159">
        <v>3</v>
      </c>
      <c r="G70" s="159" t="s">
        <v>511</v>
      </c>
      <c r="H70" s="159">
        <v>69081</v>
      </c>
      <c r="I70" s="159" t="s">
        <v>512</v>
      </c>
      <c r="J70" s="159" t="s">
        <v>513</v>
      </c>
      <c r="K70" s="159" t="s">
        <v>514</v>
      </c>
      <c r="L70" s="159" t="s">
        <v>515</v>
      </c>
      <c r="M70" s="159" t="s">
        <v>372</v>
      </c>
      <c r="N70" s="159" t="s">
        <v>372</v>
      </c>
      <c r="O70" s="159"/>
      <c r="P70" s="159"/>
      <c r="Q70" s="159" t="s">
        <v>511</v>
      </c>
      <c r="R70" s="159">
        <v>69002</v>
      </c>
      <c r="S70" s="159" t="s">
        <v>518</v>
      </c>
      <c r="T70" s="160" t="s">
        <v>371</v>
      </c>
      <c r="U70" s="159" t="s">
        <v>519</v>
      </c>
      <c r="V70" s="159" t="s">
        <v>549</v>
      </c>
      <c r="W70" s="161">
        <v>10</v>
      </c>
      <c r="X70" s="159"/>
      <c r="Y70" s="159"/>
      <c r="Z70" s="159"/>
      <c r="AA70" s="159" t="s">
        <v>237</v>
      </c>
      <c r="AB70" s="159" t="s">
        <v>566</v>
      </c>
      <c r="AC70" s="159" t="s">
        <v>511</v>
      </c>
      <c r="AD70" s="159">
        <v>69081</v>
      </c>
      <c r="AE70" s="162">
        <v>0.028372</v>
      </c>
      <c r="AF70" s="162">
        <v>0</v>
      </c>
      <c r="AG70" s="162">
        <f aca="true" t="shared" si="1" ref="AG70:AG133">AF70+AE70</f>
        <v>0.028372</v>
      </c>
    </row>
    <row r="71" spans="1:33" ht="15">
      <c r="A71" s="159" t="s">
        <v>507</v>
      </c>
      <c r="B71" s="160" t="s">
        <v>508</v>
      </c>
      <c r="C71" s="160" t="s">
        <v>509</v>
      </c>
      <c r="D71" s="159" t="s">
        <v>510</v>
      </c>
      <c r="E71" s="159">
        <v>42</v>
      </c>
      <c r="F71" s="159">
        <v>3</v>
      </c>
      <c r="G71" s="159" t="s">
        <v>511</v>
      </c>
      <c r="H71" s="159">
        <v>69081</v>
      </c>
      <c r="I71" s="159" t="s">
        <v>512</v>
      </c>
      <c r="J71" s="159" t="s">
        <v>513</v>
      </c>
      <c r="K71" s="159" t="s">
        <v>514</v>
      </c>
      <c r="L71" s="159" t="s">
        <v>515</v>
      </c>
      <c r="M71" s="159" t="s">
        <v>288</v>
      </c>
      <c r="N71" s="159" t="s">
        <v>288</v>
      </c>
      <c r="O71" s="159"/>
      <c r="P71" s="159"/>
      <c r="Q71" s="159" t="s">
        <v>511</v>
      </c>
      <c r="R71" s="159">
        <v>69002</v>
      </c>
      <c r="S71" s="159" t="s">
        <v>518</v>
      </c>
      <c r="T71" s="160" t="s">
        <v>287</v>
      </c>
      <c r="U71" s="159" t="s">
        <v>565</v>
      </c>
      <c r="V71" s="159" t="s">
        <v>549</v>
      </c>
      <c r="W71" s="161">
        <v>32</v>
      </c>
      <c r="X71" s="159"/>
      <c r="Y71" s="159"/>
      <c r="Z71" s="159"/>
      <c r="AA71" s="159" t="s">
        <v>237</v>
      </c>
      <c r="AB71" s="159" t="s">
        <v>566</v>
      </c>
      <c r="AC71" s="159" t="s">
        <v>511</v>
      </c>
      <c r="AD71" s="159">
        <v>69081</v>
      </c>
      <c r="AE71" s="162">
        <v>28.492153</v>
      </c>
      <c r="AF71" s="162">
        <v>0</v>
      </c>
      <c r="AG71" s="162">
        <f t="shared" si="1"/>
        <v>28.492153</v>
      </c>
    </row>
    <row r="72" spans="1:33" ht="15">
      <c r="A72" s="159" t="s">
        <v>507</v>
      </c>
      <c r="B72" s="160" t="s">
        <v>508</v>
      </c>
      <c r="C72" s="160" t="s">
        <v>509</v>
      </c>
      <c r="D72" s="159" t="s">
        <v>510</v>
      </c>
      <c r="E72" s="159">
        <v>42</v>
      </c>
      <c r="F72" s="159">
        <v>3</v>
      </c>
      <c r="G72" s="159" t="s">
        <v>511</v>
      </c>
      <c r="H72" s="159">
        <v>69081</v>
      </c>
      <c r="I72" s="159" t="s">
        <v>512</v>
      </c>
      <c r="J72" s="159" t="s">
        <v>513</v>
      </c>
      <c r="K72" s="159" t="s">
        <v>514</v>
      </c>
      <c r="L72" s="159" t="s">
        <v>515</v>
      </c>
      <c r="M72" s="159" t="s">
        <v>246</v>
      </c>
      <c r="N72" s="159" t="s">
        <v>246</v>
      </c>
      <c r="O72" s="159"/>
      <c r="P72" s="159"/>
      <c r="Q72" s="159" t="s">
        <v>511</v>
      </c>
      <c r="R72" s="159">
        <v>69002</v>
      </c>
      <c r="S72" s="159" t="s">
        <v>518</v>
      </c>
      <c r="T72" s="160" t="s">
        <v>245</v>
      </c>
      <c r="U72" s="159" t="s">
        <v>565</v>
      </c>
      <c r="V72" s="159" t="s">
        <v>549</v>
      </c>
      <c r="W72" s="161">
        <v>63</v>
      </c>
      <c r="X72" s="159"/>
      <c r="Y72" s="159"/>
      <c r="Z72" s="159"/>
      <c r="AA72" s="159" t="s">
        <v>237</v>
      </c>
      <c r="AB72" s="159" t="s">
        <v>566</v>
      </c>
      <c r="AC72" s="159" t="s">
        <v>511</v>
      </c>
      <c r="AD72" s="159">
        <v>69081</v>
      </c>
      <c r="AE72" s="162">
        <v>51.36845</v>
      </c>
      <c r="AF72" s="162">
        <v>0</v>
      </c>
      <c r="AG72" s="162">
        <f t="shared" si="1"/>
        <v>51.36845</v>
      </c>
    </row>
    <row r="73" spans="1:33" ht="15">
      <c r="A73" s="159" t="s">
        <v>507</v>
      </c>
      <c r="B73" s="160" t="s">
        <v>508</v>
      </c>
      <c r="C73" s="160" t="s">
        <v>509</v>
      </c>
      <c r="D73" s="159" t="s">
        <v>510</v>
      </c>
      <c r="E73" s="159">
        <v>42</v>
      </c>
      <c r="F73" s="159">
        <v>3</v>
      </c>
      <c r="G73" s="159" t="s">
        <v>511</v>
      </c>
      <c r="H73" s="159">
        <v>69081</v>
      </c>
      <c r="I73" s="159" t="s">
        <v>512</v>
      </c>
      <c r="J73" s="159" t="s">
        <v>513</v>
      </c>
      <c r="K73" s="159" t="s">
        <v>514</v>
      </c>
      <c r="L73" s="159" t="s">
        <v>515</v>
      </c>
      <c r="M73" s="159" t="s">
        <v>268</v>
      </c>
      <c r="N73" s="159" t="s">
        <v>268</v>
      </c>
      <c r="O73" s="159"/>
      <c r="P73" s="159"/>
      <c r="Q73" s="159" t="s">
        <v>511</v>
      </c>
      <c r="R73" s="159">
        <v>69002</v>
      </c>
      <c r="S73" s="159" t="s">
        <v>518</v>
      </c>
      <c r="T73" s="160" t="s">
        <v>267</v>
      </c>
      <c r="U73" s="159" t="s">
        <v>565</v>
      </c>
      <c r="V73" s="159" t="s">
        <v>549</v>
      </c>
      <c r="W73" s="161">
        <v>40</v>
      </c>
      <c r="X73" s="159"/>
      <c r="Y73" s="159"/>
      <c r="Z73" s="159"/>
      <c r="AA73" s="159" t="s">
        <v>237</v>
      </c>
      <c r="AB73" s="159" t="s">
        <v>566</v>
      </c>
      <c r="AC73" s="159" t="s">
        <v>511</v>
      </c>
      <c r="AD73" s="159">
        <v>69081</v>
      </c>
      <c r="AE73" s="162">
        <v>32.982625</v>
      </c>
      <c r="AF73" s="162">
        <v>0</v>
      </c>
      <c r="AG73" s="162">
        <f t="shared" si="1"/>
        <v>32.982625</v>
      </c>
    </row>
    <row r="74" spans="1:33" ht="15">
      <c r="A74" s="159" t="s">
        <v>507</v>
      </c>
      <c r="B74" s="160" t="s">
        <v>508</v>
      </c>
      <c r="C74" s="160" t="s">
        <v>509</v>
      </c>
      <c r="D74" s="159" t="s">
        <v>510</v>
      </c>
      <c r="E74" s="159">
        <v>42</v>
      </c>
      <c r="F74" s="159">
        <v>3</v>
      </c>
      <c r="G74" s="159" t="s">
        <v>511</v>
      </c>
      <c r="H74" s="159">
        <v>69081</v>
      </c>
      <c r="I74" s="159" t="s">
        <v>512</v>
      </c>
      <c r="J74" s="159" t="s">
        <v>513</v>
      </c>
      <c r="K74" s="159" t="s">
        <v>514</v>
      </c>
      <c r="L74" s="159" t="s">
        <v>515</v>
      </c>
      <c r="M74" s="159" t="s">
        <v>330</v>
      </c>
      <c r="N74" s="159" t="s">
        <v>330</v>
      </c>
      <c r="O74" s="159"/>
      <c r="P74" s="159"/>
      <c r="Q74" s="159" t="s">
        <v>511</v>
      </c>
      <c r="R74" s="159">
        <v>69002</v>
      </c>
      <c r="S74" s="159" t="s">
        <v>518</v>
      </c>
      <c r="T74" s="160" t="s">
        <v>329</v>
      </c>
      <c r="U74" s="159" t="s">
        <v>565</v>
      </c>
      <c r="V74" s="159" t="s">
        <v>549</v>
      </c>
      <c r="W74" s="161">
        <v>25</v>
      </c>
      <c r="X74" s="159"/>
      <c r="Y74" s="159"/>
      <c r="Z74" s="159"/>
      <c r="AA74" s="159" t="s">
        <v>237</v>
      </c>
      <c r="AB74" s="159" t="s">
        <v>566</v>
      </c>
      <c r="AC74" s="159" t="s">
        <v>511</v>
      </c>
      <c r="AD74" s="159">
        <v>69081</v>
      </c>
      <c r="AE74" s="162">
        <v>18.684974</v>
      </c>
      <c r="AF74" s="162">
        <v>0</v>
      </c>
      <c r="AG74" s="162">
        <f t="shared" si="1"/>
        <v>18.684974</v>
      </c>
    </row>
    <row r="75" spans="1:33" ht="15">
      <c r="A75" s="159" t="s">
        <v>507</v>
      </c>
      <c r="B75" s="160" t="s">
        <v>508</v>
      </c>
      <c r="C75" s="160" t="s">
        <v>509</v>
      </c>
      <c r="D75" s="159" t="s">
        <v>510</v>
      </c>
      <c r="E75" s="159">
        <v>42</v>
      </c>
      <c r="F75" s="159">
        <v>3</v>
      </c>
      <c r="G75" s="159" t="s">
        <v>511</v>
      </c>
      <c r="H75" s="159">
        <v>69081</v>
      </c>
      <c r="I75" s="159" t="s">
        <v>512</v>
      </c>
      <c r="J75" s="159" t="s">
        <v>513</v>
      </c>
      <c r="K75" s="159" t="s">
        <v>514</v>
      </c>
      <c r="L75" s="159" t="s">
        <v>515</v>
      </c>
      <c r="M75" s="159" t="s">
        <v>340</v>
      </c>
      <c r="N75" s="159" t="s">
        <v>340</v>
      </c>
      <c r="O75" s="159"/>
      <c r="P75" s="159"/>
      <c r="Q75" s="159" t="s">
        <v>511</v>
      </c>
      <c r="R75" s="159">
        <v>69002</v>
      </c>
      <c r="S75" s="159" t="s">
        <v>518</v>
      </c>
      <c r="T75" s="160" t="s">
        <v>339</v>
      </c>
      <c r="U75" s="159" t="s">
        <v>565</v>
      </c>
      <c r="V75" s="159" t="s">
        <v>549</v>
      </c>
      <c r="W75" s="161">
        <v>25</v>
      </c>
      <c r="X75" s="159"/>
      <c r="Y75" s="159"/>
      <c r="Z75" s="159"/>
      <c r="AA75" s="159" t="s">
        <v>237</v>
      </c>
      <c r="AB75" s="159" t="s">
        <v>566</v>
      </c>
      <c r="AC75" s="159" t="s">
        <v>511</v>
      </c>
      <c r="AD75" s="159">
        <v>69081</v>
      </c>
      <c r="AE75" s="162">
        <v>12.554436</v>
      </c>
      <c r="AF75" s="162">
        <v>0</v>
      </c>
      <c r="AG75" s="162">
        <f t="shared" si="1"/>
        <v>12.554436</v>
      </c>
    </row>
    <row r="76" spans="1:33" ht="15">
      <c r="A76" s="159" t="s">
        <v>507</v>
      </c>
      <c r="B76" s="160" t="s">
        <v>508</v>
      </c>
      <c r="C76" s="160" t="s">
        <v>509</v>
      </c>
      <c r="D76" s="159" t="s">
        <v>510</v>
      </c>
      <c r="E76" s="159">
        <v>42</v>
      </c>
      <c r="F76" s="159">
        <v>3</v>
      </c>
      <c r="G76" s="159" t="s">
        <v>511</v>
      </c>
      <c r="H76" s="159">
        <v>69081</v>
      </c>
      <c r="I76" s="159" t="s">
        <v>512</v>
      </c>
      <c r="J76" s="159" t="s">
        <v>513</v>
      </c>
      <c r="K76" s="159" t="s">
        <v>514</v>
      </c>
      <c r="L76" s="159" t="s">
        <v>515</v>
      </c>
      <c r="M76" s="159" t="s">
        <v>252</v>
      </c>
      <c r="N76" s="159" t="s">
        <v>252</v>
      </c>
      <c r="O76" s="159"/>
      <c r="P76" s="159"/>
      <c r="Q76" s="159" t="s">
        <v>511</v>
      </c>
      <c r="R76" s="159">
        <v>69002</v>
      </c>
      <c r="S76" s="159" t="s">
        <v>518</v>
      </c>
      <c r="T76" s="160" t="s">
        <v>251</v>
      </c>
      <c r="U76" s="159" t="s">
        <v>565</v>
      </c>
      <c r="V76" s="159" t="s">
        <v>549</v>
      </c>
      <c r="W76" s="161">
        <v>50</v>
      </c>
      <c r="X76" s="159"/>
      <c r="Y76" s="159"/>
      <c r="Z76" s="159"/>
      <c r="AA76" s="159" t="s">
        <v>237</v>
      </c>
      <c r="AB76" s="159" t="s">
        <v>566</v>
      </c>
      <c r="AC76" s="159" t="s">
        <v>511</v>
      </c>
      <c r="AD76" s="159">
        <v>69081</v>
      </c>
      <c r="AE76" s="162">
        <v>42.515816</v>
      </c>
      <c r="AF76" s="162">
        <v>0</v>
      </c>
      <c r="AG76" s="162">
        <f t="shared" si="1"/>
        <v>42.515816</v>
      </c>
    </row>
    <row r="77" spans="1:33" ht="15">
      <c r="A77" s="159" t="s">
        <v>507</v>
      </c>
      <c r="B77" s="160" t="s">
        <v>508</v>
      </c>
      <c r="C77" s="160" t="s">
        <v>509</v>
      </c>
      <c r="D77" s="159" t="s">
        <v>510</v>
      </c>
      <c r="E77" s="159">
        <v>42</v>
      </c>
      <c r="F77" s="159">
        <v>3</v>
      </c>
      <c r="G77" s="159" t="s">
        <v>511</v>
      </c>
      <c r="H77" s="159">
        <v>69081</v>
      </c>
      <c r="I77" s="159" t="s">
        <v>512</v>
      </c>
      <c r="J77" s="159" t="s">
        <v>513</v>
      </c>
      <c r="K77" s="159" t="s">
        <v>514</v>
      </c>
      <c r="L77" s="159" t="s">
        <v>515</v>
      </c>
      <c r="M77" s="159" t="s">
        <v>342</v>
      </c>
      <c r="N77" s="159" t="s">
        <v>342</v>
      </c>
      <c r="O77" s="159"/>
      <c r="P77" s="159"/>
      <c r="Q77" s="159" t="s">
        <v>511</v>
      </c>
      <c r="R77" s="159">
        <v>69002</v>
      </c>
      <c r="S77" s="159" t="s">
        <v>518</v>
      </c>
      <c r="T77" s="160" t="s">
        <v>341</v>
      </c>
      <c r="U77" s="159" t="s">
        <v>565</v>
      </c>
      <c r="V77" s="159" t="s">
        <v>549</v>
      </c>
      <c r="W77" s="161">
        <v>25</v>
      </c>
      <c r="X77" s="159"/>
      <c r="Y77" s="159"/>
      <c r="Z77" s="159"/>
      <c r="AA77" s="159" t="s">
        <v>237</v>
      </c>
      <c r="AB77" s="159" t="s">
        <v>566</v>
      </c>
      <c r="AC77" s="159" t="s">
        <v>511</v>
      </c>
      <c r="AD77" s="159">
        <v>69081</v>
      </c>
      <c r="AE77" s="162">
        <v>12.507841</v>
      </c>
      <c r="AF77" s="162">
        <v>0</v>
      </c>
      <c r="AG77" s="162">
        <f t="shared" si="1"/>
        <v>12.507841</v>
      </c>
    </row>
    <row r="78" spans="1:33" ht="15">
      <c r="A78" s="159" t="s">
        <v>507</v>
      </c>
      <c r="B78" s="160" t="s">
        <v>508</v>
      </c>
      <c r="C78" s="160" t="s">
        <v>509</v>
      </c>
      <c r="D78" s="159" t="s">
        <v>510</v>
      </c>
      <c r="E78" s="159">
        <v>42</v>
      </c>
      <c r="F78" s="159">
        <v>3</v>
      </c>
      <c r="G78" s="159" t="s">
        <v>511</v>
      </c>
      <c r="H78" s="159">
        <v>69081</v>
      </c>
      <c r="I78" s="159" t="s">
        <v>512</v>
      </c>
      <c r="J78" s="159" t="s">
        <v>513</v>
      </c>
      <c r="K78" s="159" t="s">
        <v>514</v>
      </c>
      <c r="L78" s="159" t="s">
        <v>515</v>
      </c>
      <c r="M78" s="159" t="s">
        <v>262</v>
      </c>
      <c r="N78" s="159" t="s">
        <v>262</v>
      </c>
      <c r="O78" s="159"/>
      <c r="P78" s="159"/>
      <c r="Q78" s="159" t="s">
        <v>511</v>
      </c>
      <c r="R78" s="159">
        <v>69002</v>
      </c>
      <c r="S78" s="159" t="s">
        <v>518</v>
      </c>
      <c r="T78" s="160" t="s">
        <v>261</v>
      </c>
      <c r="U78" s="159" t="s">
        <v>565</v>
      </c>
      <c r="V78" s="159" t="s">
        <v>549</v>
      </c>
      <c r="W78" s="161">
        <v>40</v>
      </c>
      <c r="X78" s="159"/>
      <c r="Y78" s="159"/>
      <c r="Z78" s="159"/>
      <c r="AA78" s="159" t="s">
        <v>237</v>
      </c>
      <c r="AB78" s="159" t="s">
        <v>566</v>
      </c>
      <c r="AC78" s="159" t="s">
        <v>511</v>
      </c>
      <c r="AD78" s="159">
        <v>69081</v>
      </c>
      <c r="AE78" s="162">
        <v>35.351768</v>
      </c>
      <c r="AF78" s="162">
        <v>0</v>
      </c>
      <c r="AG78" s="162">
        <f t="shared" si="1"/>
        <v>35.351768</v>
      </c>
    </row>
    <row r="79" spans="1:33" ht="15">
      <c r="A79" s="159" t="s">
        <v>507</v>
      </c>
      <c r="B79" s="160" t="s">
        <v>508</v>
      </c>
      <c r="C79" s="160" t="s">
        <v>509</v>
      </c>
      <c r="D79" s="159" t="s">
        <v>510</v>
      </c>
      <c r="E79" s="159">
        <v>42</v>
      </c>
      <c r="F79" s="159">
        <v>3</v>
      </c>
      <c r="G79" s="159" t="s">
        <v>511</v>
      </c>
      <c r="H79" s="159">
        <v>69081</v>
      </c>
      <c r="I79" s="159" t="s">
        <v>512</v>
      </c>
      <c r="J79" s="159" t="s">
        <v>513</v>
      </c>
      <c r="K79" s="159" t="s">
        <v>514</v>
      </c>
      <c r="L79" s="159" t="s">
        <v>515</v>
      </c>
      <c r="M79" s="159" t="s">
        <v>310</v>
      </c>
      <c r="N79" s="159" t="s">
        <v>310</v>
      </c>
      <c r="O79" s="159"/>
      <c r="P79" s="159"/>
      <c r="Q79" s="159" t="s">
        <v>511</v>
      </c>
      <c r="R79" s="159">
        <v>69002</v>
      </c>
      <c r="S79" s="159" t="s">
        <v>518</v>
      </c>
      <c r="T79" s="160" t="s">
        <v>309</v>
      </c>
      <c r="U79" s="159" t="s">
        <v>565</v>
      </c>
      <c r="V79" s="159" t="s">
        <v>549</v>
      </c>
      <c r="W79" s="161">
        <v>32</v>
      </c>
      <c r="X79" s="159"/>
      <c r="Y79" s="159"/>
      <c r="Z79" s="159"/>
      <c r="AA79" s="159" t="s">
        <v>237</v>
      </c>
      <c r="AB79" s="159" t="s">
        <v>566</v>
      </c>
      <c r="AC79" s="159" t="s">
        <v>511</v>
      </c>
      <c r="AD79" s="159">
        <v>69081</v>
      </c>
      <c r="AE79" s="162">
        <v>24.65099</v>
      </c>
      <c r="AF79" s="162">
        <v>0</v>
      </c>
      <c r="AG79" s="162">
        <f t="shared" si="1"/>
        <v>24.65099</v>
      </c>
    </row>
    <row r="80" spans="1:33" ht="15">
      <c r="A80" s="159" t="s">
        <v>507</v>
      </c>
      <c r="B80" s="160" t="s">
        <v>508</v>
      </c>
      <c r="C80" s="160" t="s">
        <v>509</v>
      </c>
      <c r="D80" s="159" t="s">
        <v>510</v>
      </c>
      <c r="E80" s="159">
        <v>42</v>
      </c>
      <c r="F80" s="159">
        <v>3</v>
      </c>
      <c r="G80" s="159" t="s">
        <v>511</v>
      </c>
      <c r="H80" s="159">
        <v>69081</v>
      </c>
      <c r="I80" s="159" t="s">
        <v>512</v>
      </c>
      <c r="J80" s="159" t="s">
        <v>513</v>
      </c>
      <c r="K80" s="159" t="s">
        <v>514</v>
      </c>
      <c r="L80" s="159" t="s">
        <v>515</v>
      </c>
      <c r="M80" s="159" t="s">
        <v>324</v>
      </c>
      <c r="N80" s="159" t="s">
        <v>324</v>
      </c>
      <c r="O80" s="159"/>
      <c r="P80" s="159"/>
      <c r="Q80" s="159" t="s">
        <v>511</v>
      </c>
      <c r="R80" s="159">
        <v>69002</v>
      </c>
      <c r="S80" s="159" t="s">
        <v>518</v>
      </c>
      <c r="T80" s="160" t="s">
        <v>323</v>
      </c>
      <c r="U80" s="159" t="s">
        <v>565</v>
      </c>
      <c r="V80" s="159" t="s">
        <v>549</v>
      </c>
      <c r="W80" s="161">
        <v>20</v>
      </c>
      <c r="X80" s="159"/>
      <c r="Y80" s="159"/>
      <c r="Z80" s="159"/>
      <c r="AA80" s="159" t="s">
        <v>237</v>
      </c>
      <c r="AB80" s="159" t="s">
        <v>566</v>
      </c>
      <c r="AC80" s="159" t="s">
        <v>511</v>
      </c>
      <c r="AD80" s="159">
        <v>69081</v>
      </c>
      <c r="AE80" s="162">
        <v>21.032912</v>
      </c>
      <c r="AF80" s="162">
        <v>0</v>
      </c>
      <c r="AG80" s="162">
        <f t="shared" si="1"/>
        <v>21.032912</v>
      </c>
    </row>
    <row r="81" spans="1:33" ht="15">
      <c r="A81" s="159" t="s">
        <v>507</v>
      </c>
      <c r="B81" s="160" t="s">
        <v>508</v>
      </c>
      <c r="C81" s="160" t="s">
        <v>509</v>
      </c>
      <c r="D81" s="159" t="s">
        <v>510</v>
      </c>
      <c r="E81" s="159">
        <v>42</v>
      </c>
      <c r="F81" s="159">
        <v>3</v>
      </c>
      <c r="G81" s="159" t="s">
        <v>511</v>
      </c>
      <c r="H81" s="159">
        <v>69081</v>
      </c>
      <c r="I81" s="159" t="s">
        <v>512</v>
      </c>
      <c r="J81" s="159" t="s">
        <v>513</v>
      </c>
      <c r="K81" s="159" t="s">
        <v>514</v>
      </c>
      <c r="L81" s="159" t="s">
        <v>515</v>
      </c>
      <c r="M81" s="159" t="s">
        <v>276</v>
      </c>
      <c r="N81" s="159" t="s">
        <v>276</v>
      </c>
      <c r="O81" s="159"/>
      <c r="P81" s="159"/>
      <c r="Q81" s="159" t="s">
        <v>511</v>
      </c>
      <c r="R81" s="159">
        <v>69002</v>
      </c>
      <c r="S81" s="159" t="s">
        <v>518</v>
      </c>
      <c r="T81" s="160" t="s">
        <v>275</v>
      </c>
      <c r="U81" s="159" t="s">
        <v>565</v>
      </c>
      <c r="V81" s="159" t="s">
        <v>549</v>
      </c>
      <c r="W81" s="161">
        <v>16</v>
      </c>
      <c r="X81" s="159"/>
      <c r="Y81" s="159"/>
      <c r="Z81" s="159"/>
      <c r="AA81" s="159" t="s">
        <v>237</v>
      </c>
      <c r="AB81" s="159" t="s">
        <v>566</v>
      </c>
      <c r="AC81" s="159" t="s">
        <v>511</v>
      </c>
      <c r="AD81" s="159">
        <v>69081</v>
      </c>
      <c r="AE81" s="162">
        <v>31.877482</v>
      </c>
      <c r="AF81" s="162">
        <v>0</v>
      </c>
      <c r="AG81" s="162">
        <f t="shared" si="1"/>
        <v>31.877482</v>
      </c>
    </row>
    <row r="82" spans="1:33" ht="15">
      <c r="A82" s="159" t="s">
        <v>507</v>
      </c>
      <c r="B82" s="160" t="s">
        <v>508</v>
      </c>
      <c r="C82" s="160" t="s">
        <v>509</v>
      </c>
      <c r="D82" s="159" t="s">
        <v>510</v>
      </c>
      <c r="E82" s="159">
        <v>42</v>
      </c>
      <c r="F82" s="159">
        <v>3</v>
      </c>
      <c r="G82" s="159" t="s">
        <v>511</v>
      </c>
      <c r="H82" s="159">
        <v>69081</v>
      </c>
      <c r="I82" s="159" t="s">
        <v>512</v>
      </c>
      <c r="J82" s="159" t="s">
        <v>513</v>
      </c>
      <c r="K82" s="159" t="s">
        <v>514</v>
      </c>
      <c r="L82" s="159" t="s">
        <v>515</v>
      </c>
      <c r="M82" s="159" t="s">
        <v>344</v>
      </c>
      <c r="N82" s="159" t="s">
        <v>344</v>
      </c>
      <c r="O82" s="159"/>
      <c r="P82" s="159"/>
      <c r="Q82" s="159" t="s">
        <v>511</v>
      </c>
      <c r="R82" s="159">
        <v>69002</v>
      </c>
      <c r="S82" s="159" t="s">
        <v>518</v>
      </c>
      <c r="T82" s="160" t="s">
        <v>343</v>
      </c>
      <c r="U82" s="159" t="s">
        <v>565</v>
      </c>
      <c r="V82" s="159" t="s">
        <v>549</v>
      </c>
      <c r="W82" s="161">
        <v>25</v>
      </c>
      <c r="X82" s="159"/>
      <c r="Y82" s="159"/>
      <c r="Z82" s="159"/>
      <c r="AA82" s="159" t="s">
        <v>237</v>
      </c>
      <c r="AB82" s="159" t="s">
        <v>566</v>
      </c>
      <c r="AC82" s="159" t="s">
        <v>511</v>
      </c>
      <c r="AD82" s="159">
        <v>69081</v>
      </c>
      <c r="AE82" s="162">
        <v>12.378773</v>
      </c>
      <c r="AF82" s="162">
        <v>0</v>
      </c>
      <c r="AG82" s="162">
        <f t="shared" si="1"/>
        <v>12.378773</v>
      </c>
    </row>
    <row r="83" spans="1:33" ht="15">
      <c r="A83" s="159" t="s">
        <v>507</v>
      </c>
      <c r="B83" s="160" t="s">
        <v>508</v>
      </c>
      <c r="C83" s="160" t="s">
        <v>509</v>
      </c>
      <c r="D83" s="159" t="s">
        <v>510</v>
      </c>
      <c r="E83" s="159">
        <v>42</v>
      </c>
      <c r="F83" s="159">
        <v>3</v>
      </c>
      <c r="G83" s="159" t="s">
        <v>511</v>
      </c>
      <c r="H83" s="159">
        <v>69081</v>
      </c>
      <c r="I83" s="159" t="s">
        <v>512</v>
      </c>
      <c r="J83" s="159" t="s">
        <v>513</v>
      </c>
      <c r="K83" s="159" t="s">
        <v>514</v>
      </c>
      <c r="L83" s="159" t="s">
        <v>515</v>
      </c>
      <c r="M83" s="159" t="s">
        <v>376</v>
      </c>
      <c r="N83" s="159" t="s">
        <v>583</v>
      </c>
      <c r="O83" s="159"/>
      <c r="P83" s="159"/>
      <c r="Q83" s="159" t="s">
        <v>511</v>
      </c>
      <c r="R83" s="159">
        <v>69002</v>
      </c>
      <c r="S83" s="159" t="s">
        <v>518</v>
      </c>
      <c r="T83" s="160" t="s">
        <v>375</v>
      </c>
      <c r="U83" s="159" t="s">
        <v>565</v>
      </c>
      <c r="V83" s="159" t="s">
        <v>549</v>
      </c>
      <c r="W83" s="161">
        <v>2</v>
      </c>
      <c r="X83" s="159"/>
      <c r="Y83" s="159"/>
      <c r="Z83" s="159"/>
      <c r="AA83" s="159" t="s">
        <v>237</v>
      </c>
      <c r="AB83" s="159" t="s">
        <v>566</v>
      </c>
      <c r="AC83" s="159" t="s">
        <v>511</v>
      </c>
      <c r="AD83" s="159">
        <v>69081</v>
      </c>
      <c r="AE83" s="162">
        <v>0</v>
      </c>
      <c r="AF83" s="162">
        <v>0</v>
      </c>
      <c r="AG83" s="162">
        <f t="shared" si="1"/>
        <v>0</v>
      </c>
    </row>
    <row r="84" spans="1:33" ht="15">
      <c r="A84" s="159" t="s">
        <v>507</v>
      </c>
      <c r="B84" s="160" t="s">
        <v>508</v>
      </c>
      <c r="C84" s="160" t="s">
        <v>509</v>
      </c>
      <c r="D84" s="159" t="s">
        <v>510</v>
      </c>
      <c r="E84" s="159">
        <v>42</v>
      </c>
      <c r="F84" s="159">
        <v>3</v>
      </c>
      <c r="G84" s="159" t="s">
        <v>511</v>
      </c>
      <c r="H84" s="159">
        <v>69081</v>
      </c>
      <c r="I84" s="159" t="s">
        <v>512</v>
      </c>
      <c r="J84" s="159" t="s">
        <v>513</v>
      </c>
      <c r="K84" s="159" t="s">
        <v>514</v>
      </c>
      <c r="L84" s="159" t="s">
        <v>515</v>
      </c>
      <c r="M84" s="159" t="s">
        <v>378</v>
      </c>
      <c r="N84" s="159" t="s">
        <v>584</v>
      </c>
      <c r="O84" s="159"/>
      <c r="P84" s="159"/>
      <c r="Q84" s="159" t="s">
        <v>511</v>
      </c>
      <c r="R84" s="159">
        <v>69002</v>
      </c>
      <c r="S84" s="159" t="s">
        <v>518</v>
      </c>
      <c r="T84" s="160" t="s">
        <v>377</v>
      </c>
      <c r="U84" s="159" t="s">
        <v>565</v>
      </c>
      <c r="V84" s="159" t="s">
        <v>549</v>
      </c>
      <c r="W84" s="161">
        <v>2</v>
      </c>
      <c r="X84" s="159"/>
      <c r="Y84" s="159"/>
      <c r="Z84" s="159"/>
      <c r="AA84" s="159" t="s">
        <v>237</v>
      </c>
      <c r="AB84" s="159" t="s">
        <v>566</v>
      </c>
      <c r="AC84" s="159" t="s">
        <v>511</v>
      </c>
      <c r="AD84" s="159">
        <v>69081</v>
      </c>
      <c r="AE84" s="162">
        <v>0</v>
      </c>
      <c r="AF84" s="162">
        <v>0</v>
      </c>
      <c r="AG84" s="162">
        <f t="shared" si="1"/>
        <v>0</v>
      </c>
    </row>
    <row r="85" spans="1:33" ht="15">
      <c r="A85" s="159" t="s">
        <v>507</v>
      </c>
      <c r="B85" s="160" t="s">
        <v>508</v>
      </c>
      <c r="C85" s="160" t="s">
        <v>509</v>
      </c>
      <c r="D85" s="159" t="s">
        <v>510</v>
      </c>
      <c r="E85" s="159">
        <v>42</v>
      </c>
      <c r="F85" s="159">
        <v>3</v>
      </c>
      <c r="G85" s="159" t="s">
        <v>511</v>
      </c>
      <c r="H85" s="159">
        <v>69081</v>
      </c>
      <c r="I85" s="159" t="s">
        <v>512</v>
      </c>
      <c r="J85" s="159" t="s">
        <v>513</v>
      </c>
      <c r="K85" s="159" t="s">
        <v>514</v>
      </c>
      <c r="L85" s="159" t="s">
        <v>515</v>
      </c>
      <c r="M85" s="159" t="s">
        <v>380</v>
      </c>
      <c r="N85" s="159" t="s">
        <v>585</v>
      </c>
      <c r="O85" s="159"/>
      <c r="P85" s="159"/>
      <c r="Q85" s="159" t="s">
        <v>511</v>
      </c>
      <c r="R85" s="159">
        <v>69002</v>
      </c>
      <c r="S85" s="159" t="s">
        <v>518</v>
      </c>
      <c r="T85" s="160" t="s">
        <v>379</v>
      </c>
      <c r="U85" s="159" t="s">
        <v>565</v>
      </c>
      <c r="V85" s="159" t="s">
        <v>549</v>
      </c>
      <c r="W85" s="161">
        <v>2</v>
      </c>
      <c r="X85" s="159"/>
      <c r="Y85" s="159"/>
      <c r="Z85" s="159"/>
      <c r="AA85" s="159" t="s">
        <v>237</v>
      </c>
      <c r="AB85" s="159" t="s">
        <v>566</v>
      </c>
      <c r="AC85" s="159" t="s">
        <v>511</v>
      </c>
      <c r="AD85" s="159">
        <v>69081</v>
      </c>
      <c r="AE85" s="162">
        <v>0</v>
      </c>
      <c r="AF85" s="162">
        <v>0</v>
      </c>
      <c r="AG85" s="162">
        <f t="shared" si="1"/>
        <v>0</v>
      </c>
    </row>
    <row r="86" spans="1:33" ht="15">
      <c r="A86" s="159" t="s">
        <v>507</v>
      </c>
      <c r="B86" s="160" t="s">
        <v>508</v>
      </c>
      <c r="C86" s="160" t="s">
        <v>509</v>
      </c>
      <c r="D86" s="159" t="s">
        <v>510</v>
      </c>
      <c r="E86" s="159">
        <v>42</v>
      </c>
      <c r="F86" s="159">
        <v>3</v>
      </c>
      <c r="G86" s="159" t="s">
        <v>511</v>
      </c>
      <c r="H86" s="159">
        <v>69081</v>
      </c>
      <c r="I86" s="159" t="s">
        <v>512</v>
      </c>
      <c r="J86" s="159" t="s">
        <v>513</v>
      </c>
      <c r="K86" s="159" t="s">
        <v>514</v>
      </c>
      <c r="L86" s="159" t="s">
        <v>515</v>
      </c>
      <c r="M86" s="159" t="s">
        <v>382</v>
      </c>
      <c r="N86" s="159" t="s">
        <v>586</v>
      </c>
      <c r="O86" s="159"/>
      <c r="P86" s="159"/>
      <c r="Q86" s="159" t="s">
        <v>511</v>
      </c>
      <c r="R86" s="159">
        <v>69002</v>
      </c>
      <c r="S86" s="159" t="s">
        <v>518</v>
      </c>
      <c r="T86" s="160" t="s">
        <v>381</v>
      </c>
      <c r="U86" s="159" t="s">
        <v>565</v>
      </c>
      <c r="V86" s="159" t="s">
        <v>549</v>
      </c>
      <c r="W86" s="161">
        <v>2</v>
      </c>
      <c r="X86" s="159"/>
      <c r="Y86" s="159"/>
      <c r="Z86" s="159"/>
      <c r="AA86" s="159" t="s">
        <v>237</v>
      </c>
      <c r="AB86" s="159" t="s">
        <v>566</v>
      </c>
      <c r="AC86" s="159" t="s">
        <v>511</v>
      </c>
      <c r="AD86" s="159">
        <v>69081</v>
      </c>
      <c r="AE86" s="162">
        <v>0</v>
      </c>
      <c r="AF86" s="162">
        <v>0</v>
      </c>
      <c r="AG86" s="162">
        <f t="shared" si="1"/>
        <v>0</v>
      </c>
    </row>
    <row r="87" spans="1:33" ht="15">
      <c r="A87" s="159" t="s">
        <v>507</v>
      </c>
      <c r="B87" s="160" t="s">
        <v>508</v>
      </c>
      <c r="C87" s="160" t="s">
        <v>509</v>
      </c>
      <c r="D87" s="159" t="s">
        <v>510</v>
      </c>
      <c r="E87" s="159">
        <v>42</v>
      </c>
      <c r="F87" s="159">
        <v>3</v>
      </c>
      <c r="G87" s="159" t="s">
        <v>511</v>
      </c>
      <c r="H87" s="159">
        <v>69081</v>
      </c>
      <c r="I87" s="159" t="s">
        <v>512</v>
      </c>
      <c r="J87" s="159" t="s">
        <v>513</v>
      </c>
      <c r="K87" s="159" t="s">
        <v>514</v>
      </c>
      <c r="L87" s="159" t="s">
        <v>515</v>
      </c>
      <c r="M87" s="159" t="s">
        <v>384</v>
      </c>
      <c r="N87" s="159" t="s">
        <v>587</v>
      </c>
      <c r="O87" s="159"/>
      <c r="P87" s="159"/>
      <c r="Q87" s="159" t="s">
        <v>511</v>
      </c>
      <c r="R87" s="159">
        <v>69002</v>
      </c>
      <c r="S87" s="159" t="s">
        <v>518</v>
      </c>
      <c r="T87" s="160" t="s">
        <v>383</v>
      </c>
      <c r="U87" s="159" t="s">
        <v>565</v>
      </c>
      <c r="V87" s="159" t="s">
        <v>549</v>
      </c>
      <c r="W87" s="161">
        <v>2</v>
      </c>
      <c r="X87" s="159"/>
      <c r="Y87" s="159"/>
      <c r="Z87" s="159"/>
      <c r="AA87" s="159" t="s">
        <v>237</v>
      </c>
      <c r="AB87" s="159" t="s">
        <v>566</v>
      </c>
      <c r="AC87" s="159" t="s">
        <v>511</v>
      </c>
      <c r="AD87" s="159">
        <v>69081</v>
      </c>
      <c r="AE87" s="162">
        <v>0</v>
      </c>
      <c r="AF87" s="162">
        <v>0</v>
      </c>
      <c r="AG87" s="162">
        <f t="shared" si="1"/>
        <v>0</v>
      </c>
    </row>
    <row r="88" spans="1:33" ht="15">
      <c r="A88" s="159" t="s">
        <v>507</v>
      </c>
      <c r="B88" s="160" t="s">
        <v>508</v>
      </c>
      <c r="C88" s="160" t="s">
        <v>509</v>
      </c>
      <c r="D88" s="159" t="s">
        <v>510</v>
      </c>
      <c r="E88" s="159">
        <v>42</v>
      </c>
      <c r="F88" s="159">
        <v>3</v>
      </c>
      <c r="G88" s="159" t="s">
        <v>511</v>
      </c>
      <c r="H88" s="159">
        <v>69081</v>
      </c>
      <c r="I88" s="159" t="s">
        <v>512</v>
      </c>
      <c r="J88" s="159" t="s">
        <v>513</v>
      </c>
      <c r="K88" s="159" t="s">
        <v>514</v>
      </c>
      <c r="L88" s="159" t="s">
        <v>515</v>
      </c>
      <c r="M88" s="159" t="s">
        <v>386</v>
      </c>
      <c r="N88" s="159" t="s">
        <v>588</v>
      </c>
      <c r="O88" s="159"/>
      <c r="P88" s="159"/>
      <c r="Q88" s="159" t="s">
        <v>511</v>
      </c>
      <c r="R88" s="159">
        <v>69002</v>
      </c>
      <c r="S88" s="159" t="s">
        <v>518</v>
      </c>
      <c r="T88" s="160" t="s">
        <v>385</v>
      </c>
      <c r="U88" s="159" t="s">
        <v>565</v>
      </c>
      <c r="V88" s="159" t="s">
        <v>549</v>
      </c>
      <c r="W88" s="161">
        <v>2</v>
      </c>
      <c r="X88" s="159"/>
      <c r="Y88" s="159"/>
      <c r="Z88" s="159"/>
      <c r="AA88" s="159" t="s">
        <v>237</v>
      </c>
      <c r="AB88" s="159" t="s">
        <v>566</v>
      </c>
      <c r="AC88" s="159" t="s">
        <v>511</v>
      </c>
      <c r="AD88" s="159">
        <v>69081</v>
      </c>
      <c r="AE88" s="162">
        <v>0</v>
      </c>
      <c r="AF88" s="162">
        <v>0</v>
      </c>
      <c r="AG88" s="162">
        <f t="shared" si="1"/>
        <v>0</v>
      </c>
    </row>
    <row r="89" spans="1:33" ht="15">
      <c r="A89" s="159" t="s">
        <v>507</v>
      </c>
      <c r="B89" s="160" t="s">
        <v>508</v>
      </c>
      <c r="C89" s="160" t="s">
        <v>509</v>
      </c>
      <c r="D89" s="159" t="s">
        <v>510</v>
      </c>
      <c r="E89" s="159">
        <v>42</v>
      </c>
      <c r="F89" s="159">
        <v>3</v>
      </c>
      <c r="G89" s="159" t="s">
        <v>511</v>
      </c>
      <c r="H89" s="159">
        <v>69081</v>
      </c>
      <c r="I89" s="159" t="s">
        <v>512</v>
      </c>
      <c r="J89" s="159" t="s">
        <v>513</v>
      </c>
      <c r="K89" s="159" t="s">
        <v>514</v>
      </c>
      <c r="L89" s="159" t="s">
        <v>515</v>
      </c>
      <c r="M89" s="159" t="s">
        <v>240</v>
      </c>
      <c r="N89" s="159" t="s">
        <v>240</v>
      </c>
      <c r="O89" s="159"/>
      <c r="P89" s="159"/>
      <c r="Q89" s="159" t="s">
        <v>511</v>
      </c>
      <c r="R89" s="159">
        <v>69002</v>
      </c>
      <c r="S89" s="159" t="s">
        <v>518</v>
      </c>
      <c r="T89" s="160" t="s">
        <v>239</v>
      </c>
      <c r="U89" s="159" t="s">
        <v>565</v>
      </c>
      <c r="V89" s="159" t="s">
        <v>549</v>
      </c>
      <c r="W89" s="161">
        <v>60</v>
      </c>
      <c r="X89" s="159"/>
      <c r="Y89" s="159"/>
      <c r="Z89" s="159"/>
      <c r="AA89" s="159" t="s">
        <v>237</v>
      </c>
      <c r="AB89" s="159" t="s">
        <v>566</v>
      </c>
      <c r="AC89" s="159" t="s">
        <v>511</v>
      </c>
      <c r="AD89" s="159">
        <v>69081</v>
      </c>
      <c r="AE89" s="162">
        <v>63.271147</v>
      </c>
      <c r="AF89" s="162">
        <v>0</v>
      </c>
      <c r="AG89" s="162">
        <f t="shared" si="1"/>
        <v>63.271147</v>
      </c>
    </row>
    <row r="90" spans="1:33" ht="15">
      <c r="A90" s="159" t="s">
        <v>507</v>
      </c>
      <c r="B90" s="160" t="s">
        <v>508</v>
      </c>
      <c r="C90" s="160" t="s">
        <v>509</v>
      </c>
      <c r="D90" s="159" t="s">
        <v>510</v>
      </c>
      <c r="E90" s="159">
        <v>42</v>
      </c>
      <c r="F90" s="159">
        <v>3</v>
      </c>
      <c r="G90" s="159" t="s">
        <v>511</v>
      </c>
      <c r="H90" s="159">
        <v>69081</v>
      </c>
      <c r="I90" s="159" t="s">
        <v>512</v>
      </c>
      <c r="J90" s="159" t="s">
        <v>513</v>
      </c>
      <c r="K90" s="159" t="s">
        <v>514</v>
      </c>
      <c r="L90" s="159" t="s">
        <v>515</v>
      </c>
      <c r="M90" s="159" t="s">
        <v>238</v>
      </c>
      <c r="N90" s="159" t="s">
        <v>238</v>
      </c>
      <c r="O90" s="159"/>
      <c r="P90" s="159"/>
      <c r="Q90" s="159" t="s">
        <v>511</v>
      </c>
      <c r="R90" s="159">
        <v>69002</v>
      </c>
      <c r="S90" s="159" t="s">
        <v>518</v>
      </c>
      <c r="T90" s="160" t="s">
        <v>236</v>
      </c>
      <c r="U90" s="159" t="s">
        <v>565</v>
      </c>
      <c r="V90" s="159" t="s">
        <v>549</v>
      </c>
      <c r="W90" s="161">
        <v>63</v>
      </c>
      <c r="X90" s="159"/>
      <c r="Y90" s="159"/>
      <c r="Z90" s="159"/>
      <c r="AA90" s="159" t="s">
        <v>237</v>
      </c>
      <c r="AB90" s="159" t="s">
        <v>566</v>
      </c>
      <c r="AC90" s="159" t="s">
        <v>511</v>
      </c>
      <c r="AD90" s="159">
        <v>69081</v>
      </c>
      <c r="AE90" s="162">
        <v>65.592516</v>
      </c>
      <c r="AF90" s="162">
        <v>0</v>
      </c>
      <c r="AG90" s="162">
        <f t="shared" si="1"/>
        <v>65.592516</v>
      </c>
    </row>
    <row r="91" spans="1:33" ht="15">
      <c r="A91" s="159" t="s">
        <v>507</v>
      </c>
      <c r="B91" s="160" t="s">
        <v>508</v>
      </c>
      <c r="C91" s="160" t="s">
        <v>509</v>
      </c>
      <c r="D91" s="159" t="s">
        <v>510</v>
      </c>
      <c r="E91" s="159">
        <v>42</v>
      </c>
      <c r="F91" s="159">
        <v>3</v>
      </c>
      <c r="G91" s="159" t="s">
        <v>511</v>
      </c>
      <c r="H91" s="159">
        <v>69081</v>
      </c>
      <c r="I91" s="159" t="s">
        <v>512</v>
      </c>
      <c r="J91" s="159" t="s">
        <v>513</v>
      </c>
      <c r="K91" s="159" t="s">
        <v>514</v>
      </c>
      <c r="L91" s="159" t="s">
        <v>515</v>
      </c>
      <c r="M91" s="159" t="s">
        <v>306</v>
      </c>
      <c r="N91" s="159" t="s">
        <v>306</v>
      </c>
      <c r="O91" s="159"/>
      <c r="P91" s="159"/>
      <c r="Q91" s="159" t="s">
        <v>511</v>
      </c>
      <c r="R91" s="159">
        <v>69002</v>
      </c>
      <c r="S91" s="159" t="s">
        <v>518</v>
      </c>
      <c r="T91" s="160" t="s">
        <v>305</v>
      </c>
      <c r="U91" s="159" t="s">
        <v>565</v>
      </c>
      <c r="V91" s="159" t="s">
        <v>549</v>
      </c>
      <c r="W91" s="161">
        <v>32</v>
      </c>
      <c r="X91" s="159"/>
      <c r="Y91" s="159"/>
      <c r="Z91" s="159"/>
      <c r="AA91" s="159" t="s">
        <v>237</v>
      </c>
      <c r="AB91" s="159" t="s">
        <v>566</v>
      </c>
      <c r="AC91" s="159" t="s">
        <v>511</v>
      </c>
      <c r="AD91" s="159">
        <v>69081</v>
      </c>
      <c r="AE91" s="162">
        <v>25.321103</v>
      </c>
      <c r="AF91" s="162">
        <v>0</v>
      </c>
      <c r="AG91" s="162">
        <f t="shared" si="1"/>
        <v>25.321103</v>
      </c>
    </row>
    <row r="92" spans="1:33" ht="15">
      <c r="A92" s="159" t="s">
        <v>507</v>
      </c>
      <c r="B92" s="160" t="s">
        <v>508</v>
      </c>
      <c r="C92" s="160" t="s">
        <v>509</v>
      </c>
      <c r="D92" s="159" t="s">
        <v>510</v>
      </c>
      <c r="E92" s="159">
        <v>42</v>
      </c>
      <c r="F92" s="159">
        <v>3</v>
      </c>
      <c r="G92" s="159" t="s">
        <v>511</v>
      </c>
      <c r="H92" s="159">
        <v>69081</v>
      </c>
      <c r="I92" s="159" t="s">
        <v>512</v>
      </c>
      <c r="J92" s="159" t="s">
        <v>513</v>
      </c>
      <c r="K92" s="159" t="s">
        <v>514</v>
      </c>
      <c r="L92" s="159" t="s">
        <v>515</v>
      </c>
      <c r="M92" s="159" t="s">
        <v>292</v>
      </c>
      <c r="N92" s="159" t="s">
        <v>292</v>
      </c>
      <c r="O92" s="159"/>
      <c r="P92" s="159"/>
      <c r="Q92" s="159" t="s">
        <v>511</v>
      </c>
      <c r="R92" s="159">
        <v>69002</v>
      </c>
      <c r="S92" s="159" t="s">
        <v>518</v>
      </c>
      <c r="T92" s="160" t="s">
        <v>291</v>
      </c>
      <c r="U92" s="159" t="s">
        <v>565</v>
      </c>
      <c r="V92" s="159" t="s">
        <v>549</v>
      </c>
      <c r="W92" s="161">
        <v>32</v>
      </c>
      <c r="X92" s="159"/>
      <c r="Y92" s="159"/>
      <c r="Z92" s="159"/>
      <c r="AA92" s="159" t="s">
        <v>237</v>
      </c>
      <c r="AB92" s="159" t="s">
        <v>566</v>
      </c>
      <c r="AC92" s="159" t="s">
        <v>511</v>
      </c>
      <c r="AD92" s="159">
        <v>69081</v>
      </c>
      <c r="AE92" s="162">
        <v>28.136555</v>
      </c>
      <c r="AF92" s="162">
        <v>0</v>
      </c>
      <c r="AG92" s="162">
        <f t="shared" si="1"/>
        <v>28.136555</v>
      </c>
    </row>
    <row r="93" spans="1:33" ht="15">
      <c r="A93" s="159" t="s">
        <v>507</v>
      </c>
      <c r="B93" s="160" t="s">
        <v>508</v>
      </c>
      <c r="C93" s="160" t="s">
        <v>509</v>
      </c>
      <c r="D93" s="159" t="s">
        <v>510</v>
      </c>
      <c r="E93" s="159">
        <v>42</v>
      </c>
      <c r="F93" s="159">
        <v>3</v>
      </c>
      <c r="G93" s="159" t="s">
        <v>511</v>
      </c>
      <c r="H93" s="159">
        <v>69081</v>
      </c>
      <c r="I93" s="159" t="s">
        <v>512</v>
      </c>
      <c r="J93" s="159" t="s">
        <v>513</v>
      </c>
      <c r="K93" s="159" t="s">
        <v>514</v>
      </c>
      <c r="L93" s="159" t="s">
        <v>515</v>
      </c>
      <c r="M93" s="159" t="s">
        <v>366</v>
      </c>
      <c r="N93" s="159" t="s">
        <v>366</v>
      </c>
      <c r="O93" s="159"/>
      <c r="P93" s="159"/>
      <c r="Q93" s="159" t="s">
        <v>511</v>
      </c>
      <c r="R93" s="159">
        <v>69002</v>
      </c>
      <c r="S93" s="159" t="s">
        <v>518</v>
      </c>
      <c r="T93" s="160" t="s">
        <v>365</v>
      </c>
      <c r="U93" s="159" t="s">
        <v>565</v>
      </c>
      <c r="V93" s="159" t="s">
        <v>549</v>
      </c>
      <c r="W93" s="161">
        <v>16</v>
      </c>
      <c r="X93" s="159"/>
      <c r="Y93" s="159"/>
      <c r="Z93" s="159"/>
      <c r="AA93" s="159" t="s">
        <v>237</v>
      </c>
      <c r="AB93" s="159" t="s">
        <v>566</v>
      </c>
      <c r="AC93" s="159" t="s">
        <v>511</v>
      </c>
      <c r="AD93" s="159">
        <v>69081</v>
      </c>
      <c r="AE93" s="162">
        <v>4</v>
      </c>
      <c r="AF93" s="162">
        <v>0</v>
      </c>
      <c r="AG93" s="162">
        <f t="shared" si="1"/>
        <v>4</v>
      </c>
    </row>
    <row r="94" spans="1:33" ht="15">
      <c r="A94" s="159" t="s">
        <v>507</v>
      </c>
      <c r="B94" s="160" t="s">
        <v>508</v>
      </c>
      <c r="C94" s="160" t="s">
        <v>509</v>
      </c>
      <c r="D94" s="159" t="s">
        <v>510</v>
      </c>
      <c r="E94" s="159">
        <v>42</v>
      </c>
      <c r="F94" s="159">
        <v>3</v>
      </c>
      <c r="G94" s="159" t="s">
        <v>511</v>
      </c>
      <c r="H94" s="159">
        <v>69081</v>
      </c>
      <c r="I94" s="159" t="s">
        <v>512</v>
      </c>
      <c r="J94" s="159" t="s">
        <v>513</v>
      </c>
      <c r="K94" s="159" t="s">
        <v>514</v>
      </c>
      <c r="L94" s="159" t="s">
        <v>515</v>
      </c>
      <c r="M94" s="159" t="s">
        <v>320</v>
      </c>
      <c r="N94" s="159" t="s">
        <v>589</v>
      </c>
      <c r="O94" s="159"/>
      <c r="P94" s="159"/>
      <c r="Q94" s="159" t="s">
        <v>511</v>
      </c>
      <c r="R94" s="159">
        <v>69002</v>
      </c>
      <c r="S94" s="159" t="s">
        <v>518</v>
      </c>
      <c r="T94" s="160" t="s">
        <v>319</v>
      </c>
      <c r="U94" s="159" t="s">
        <v>548</v>
      </c>
      <c r="V94" s="159" t="s">
        <v>549</v>
      </c>
      <c r="W94" s="161">
        <v>16</v>
      </c>
      <c r="X94" s="159"/>
      <c r="Y94" s="159"/>
      <c r="Z94" s="159"/>
      <c r="AA94" s="159" t="s">
        <v>237</v>
      </c>
      <c r="AB94" s="159" t="s">
        <v>566</v>
      </c>
      <c r="AC94" s="159" t="s">
        <v>511</v>
      </c>
      <c r="AD94" s="159">
        <v>69081</v>
      </c>
      <c r="AE94" s="162">
        <v>22.282532</v>
      </c>
      <c r="AF94" s="162">
        <v>0</v>
      </c>
      <c r="AG94" s="162">
        <f t="shared" si="1"/>
        <v>22.282532</v>
      </c>
    </row>
    <row r="95" spans="1:33" ht="15">
      <c r="A95" s="159" t="s">
        <v>507</v>
      </c>
      <c r="B95" s="160" t="s">
        <v>508</v>
      </c>
      <c r="C95" s="160" t="s">
        <v>509</v>
      </c>
      <c r="D95" s="159" t="s">
        <v>510</v>
      </c>
      <c r="E95" s="159">
        <v>42</v>
      </c>
      <c r="F95" s="159">
        <v>3</v>
      </c>
      <c r="G95" s="159" t="s">
        <v>511</v>
      </c>
      <c r="H95" s="159">
        <v>69081</v>
      </c>
      <c r="I95" s="159" t="s">
        <v>512</v>
      </c>
      <c r="J95" s="159" t="s">
        <v>513</v>
      </c>
      <c r="K95" s="159" t="s">
        <v>514</v>
      </c>
      <c r="L95" s="159" t="s">
        <v>515</v>
      </c>
      <c r="M95" s="159" t="s">
        <v>364</v>
      </c>
      <c r="N95" s="159" t="s">
        <v>590</v>
      </c>
      <c r="O95" s="159"/>
      <c r="P95" s="159"/>
      <c r="Q95" s="159" t="s">
        <v>511</v>
      </c>
      <c r="R95" s="159">
        <v>69002</v>
      </c>
      <c r="S95" s="159" t="s">
        <v>518</v>
      </c>
      <c r="T95" s="160" t="s">
        <v>363</v>
      </c>
      <c r="U95" s="159" t="s">
        <v>548</v>
      </c>
      <c r="V95" s="159" t="s">
        <v>520</v>
      </c>
      <c r="W95" s="161">
        <v>16</v>
      </c>
      <c r="X95" s="159"/>
      <c r="Y95" s="159"/>
      <c r="Z95" s="159"/>
      <c r="AA95" s="159" t="s">
        <v>237</v>
      </c>
      <c r="AB95" s="159" t="s">
        <v>566</v>
      </c>
      <c r="AC95" s="159" t="s">
        <v>511</v>
      </c>
      <c r="AD95" s="159">
        <v>69081</v>
      </c>
      <c r="AE95" s="162">
        <v>4.447669</v>
      </c>
      <c r="AF95" s="162">
        <v>0</v>
      </c>
      <c r="AG95" s="162">
        <f t="shared" si="1"/>
        <v>4.447669</v>
      </c>
    </row>
    <row r="96" spans="1:33" ht="15">
      <c r="A96" s="159" t="s">
        <v>507</v>
      </c>
      <c r="B96" s="160" t="s">
        <v>508</v>
      </c>
      <c r="C96" s="160" t="s">
        <v>509</v>
      </c>
      <c r="D96" s="159" t="s">
        <v>510</v>
      </c>
      <c r="E96" s="159">
        <v>42</v>
      </c>
      <c r="F96" s="159">
        <v>3</v>
      </c>
      <c r="G96" s="159" t="s">
        <v>511</v>
      </c>
      <c r="H96" s="159">
        <v>69081</v>
      </c>
      <c r="I96" s="159" t="s">
        <v>512</v>
      </c>
      <c r="J96" s="159" t="s">
        <v>513</v>
      </c>
      <c r="K96" s="159" t="s">
        <v>514</v>
      </c>
      <c r="L96" s="159" t="s">
        <v>515</v>
      </c>
      <c r="M96" s="159" t="s">
        <v>370</v>
      </c>
      <c r="N96" s="159" t="s">
        <v>591</v>
      </c>
      <c r="O96" s="159" t="s">
        <v>430</v>
      </c>
      <c r="P96" s="159"/>
      <c r="Q96" s="159" t="s">
        <v>511</v>
      </c>
      <c r="R96" s="159">
        <v>69002</v>
      </c>
      <c r="S96" s="159" t="s">
        <v>518</v>
      </c>
      <c r="T96" s="160" t="s">
        <v>369</v>
      </c>
      <c r="U96" s="159" t="s">
        <v>548</v>
      </c>
      <c r="V96" s="159" t="s">
        <v>549</v>
      </c>
      <c r="W96" s="161">
        <v>16</v>
      </c>
      <c r="X96" s="159"/>
      <c r="Y96" s="159"/>
      <c r="Z96" s="159"/>
      <c r="AA96" s="159" t="s">
        <v>237</v>
      </c>
      <c r="AB96" s="159" t="s">
        <v>566</v>
      </c>
      <c r="AC96" s="159" t="s">
        <v>511</v>
      </c>
      <c r="AD96" s="159">
        <v>69081</v>
      </c>
      <c r="AE96" s="162">
        <v>1.153488</v>
      </c>
      <c r="AF96" s="162">
        <v>0</v>
      </c>
      <c r="AG96" s="162">
        <f t="shared" si="1"/>
        <v>1.153488</v>
      </c>
    </row>
    <row r="97" spans="1:33" ht="15">
      <c r="A97" s="159" t="s">
        <v>507</v>
      </c>
      <c r="B97" s="160" t="s">
        <v>508</v>
      </c>
      <c r="C97" s="160" t="s">
        <v>509</v>
      </c>
      <c r="D97" s="159" t="s">
        <v>510</v>
      </c>
      <c r="E97" s="159">
        <v>42</v>
      </c>
      <c r="F97" s="159">
        <v>3</v>
      </c>
      <c r="G97" s="159" t="s">
        <v>511</v>
      </c>
      <c r="H97" s="159">
        <v>69081</v>
      </c>
      <c r="I97" s="159" t="s">
        <v>512</v>
      </c>
      <c r="J97" s="159" t="s">
        <v>513</v>
      </c>
      <c r="K97" s="159" t="s">
        <v>514</v>
      </c>
      <c r="L97" s="159" t="s">
        <v>515</v>
      </c>
      <c r="M97" s="159" t="s">
        <v>354</v>
      </c>
      <c r="N97" s="159" t="s">
        <v>591</v>
      </c>
      <c r="O97" s="159"/>
      <c r="P97" s="159"/>
      <c r="Q97" s="159" t="s">
        <v>511</v>
      </c>
      <c r="R97" s="159">
        <v>69002</v>
      </c>
      <c r="S97" s="159" t="s">
        <v>518</v>
      </c>
      <c r="T97" s="160" t="s">
        <v>353</v>
      </c>
      <c r="U97" s="159" t="s">
        <v>548</v>
      </c>
      <c r="V97" s="159" t="s">
        <v>549</v>
      </c>
      <c r="W97" s="161">
        <v>16</v>
      </c>
      <c r="X97" s="159"/>
      <c r="Y97" s="159"/>
      <c r="Z97" s="159"/>
      <c r="AA97" s="159" t="s">
        <v>237</v>
      </c>
      <c r="AB97" s="159" t="s">
        <v>566</v>
      </c>
      <c r="AC97" s="159" t="s">
        <v>511</v>
      </c>
      <c r="AD97" s="159">
        <v>69081</v>
      </c>
      <c r="AE97" s="162">
        <v>7.884294</v>
      </c>
      <c r="AF97" s="162">
        <v>0</v>
      </c>
      <c r="AG97" s="162">
        <f t="shared" si="1"/>
        <v>7.884294</v>
      </c>
    </row>
    <row r="98" spans="1:33" ht="15">
      <c r="A98" s="159" t="s">
        <v>507</v>
      </c>
      <c r="B98" s="160" t="s">
        <v>508</v>
      </c>
      <c r="C98" s="160" t="s">
        <v>509</v>
      </c>
      <c r="D98" s="159" t="s">
        <v>510</v>
      </c>
      <c r="E98" s="159">
        <v>42</v>
      </c>
      <c r="F98" s="159">
        <v>3</v>
      </c>
      <c r="G98" s="159" t="s">
        <v>511</v>
      </c>
      <c r="H98" s="159">
        <v>69081</v>
      </c>
      <c r="I98" s="159" t="s">
        <v>512</v>
      </c>
      <c r="J98" s="159" t="s">
        <v>513</v>
      </c>
      <c r="K98" s="159" t="s">
        <v>514</v>
      </c>
      <c r="L98" s="159" t="s">
        <v>515</v>
      </c>
      <c r="M98" s="159" t="s">
        <v>348</v>
      </c>
      <c r="N98" s="159" t="s">
        <v>592</v>
      </c>
      <c r="O98" s="159"/>
      <c r="P98" s="159"/>
      <c r="Q98" s="159" t="s">
        <v>511</v>
      </c>
      <c r="R98" s="159">
        <v>69002</v>
      </c>
      <c r="S98" s="159" t="s">
        <v>518</v>
      </c>
      <c r="T98" s="160" t="s">
        <v>347</v>
      </c>
      <c r="U98" s="159" t="s">
        <v>548</v>
      </c>
      <c r="V98" s="159" t="s">
        <v>549</v>
      </c>
      <c r="W98" s="161">
        <v>16</v>
      </c>
      <c r="X98" s="159"/>
      <c r="Y98" s="159"/>
      <c r="Z98" s="159"/>
      <c r="AA98" s="159" t="s">
        <v>237</v>
      </c>
      <c r="AB98" s="159" t="s">
        <v>566</v>
      </c>
      <c r="AC98" s="159" t="s">
        <v>511</v>
      </c>
      <c r="AD98" s="159">
        <v>69081</v>
      </c>
      <c r="AE98" s="162">
        <v>10.291151</v>
      </c>
      <c r="AF98" s="162">
        <v>0</v>
      </c>
      <c r="AG98" s="162">
        <f t="shared" si="1"/>
        <v>10.291151</v>
      </c>
    </row>
    <row r="99" spans="1:33" ht="15">
      <c r="A99" s="159" t="s">
        <v>507</v>
      </c>
      <c r="B99" s="160" t="s">
        <v>508</v>
      </c>
      <c r="C99" s="160" t="s">
        <v>509</v>
      </c>
      <c r="D99" s="159" t="s">
        <v>510</v>
      </c>
      <c r="E99" s="159">
        <v>42</v>
      </c>
      <c r="F99" s="159">
        <v>3</v>
      </c>
      <c r="G99" s="159" t="s">
        <v>511</v>
      </c>
      <c r="H99" s="159">
        <v>69081</v>
      </c>
      <c r="I99" s="159" t="s">
        <v>512</v>
      </c>
      <c r="J99" s="159" t="s">
        <v>513</v>
      </c>
      <c r="K99" s="159" t="s">
        <v>514</v>
      </c>
      <c r="L99" s="159" t="s">
        <v>515</v>
      </c>
      <c r="M99" s="159" t="s">
        <v>244</v>
      </c>
      <c r="N99" s="159" t="s">
        <v>593</v>
      </c>
      <c r="O99" s="159" t="s">
        <v>594</v>
      </c>
      <c r="P99" s="159">
        <v>1</v>
      </c>
      <c r="Q99" s="159" t="s">
        <v>511</v>
      </c>
      <c r="R99" s="159">
        <v>69002</v>
      </c>
      <c r="S99" s="159" t="s">
        <v>518</v>
      </c>
      <c r="T99" s="160" t="s">
        <v>243</v>
      </c>
      <c r="U99" s="159" t="s">
        <v>548</v>
      </c>
      <c r="V99" s="159" t="s">
        <v>549</v>
      </c>
      <c r="W99" s="161">
        <v>32</v>
      </c>
      <c r="X99" s="159"/>
      <c r="Y99" s="159"/>
      <c r="Z99" s="159"/>
      <c r="AA99" s="159" t="s">
        <v>237</v>
      </c>
      <c r="AB99" s="159" t="s">
        <v>566</v>
      </c>
      <c r="AC99" s="159" t="s">
        <v>511</v>
      </c>
      <c r="AD99" s="159">
        <v>69081</v>
      </c>
      <c r="AE99" s="162">
        <v>54.160292</v>
      </c>
      <c r="AF99" s="162">
        <v>0</v>
      </c>
      <c r="AG99" s="162">
        <f t="shared" si="1"/>
        <v>54.160292</v>
      </c>
    </row>
    <row r="100" spans="1:33" ht="15">
      <c r="A100" s="159" t="s">
        <v>507</v>
      </c>
      <c r="B100" s="160" t="s">
        <v>508</v>
      </c>
      <c r="C100" s="160" t="s">
        <v>509</v>
      </c>
      <c r="D100" s="159" t="s">
        <v>510</v>
      </c>
      <c r="E100" s="159">
        <v>42</v>
      </c>
      <c r="F100" s="159">
        <v>3</v>
      </c>
      <c r="G100" s="159" t="s">
        <v>511</v>
      </c>
      <c r="H100" s="159">
        <v>69081</v>
      </c>
      <c r="I100" s="159" t="s">
        <v>512</v>
      </c>
      <c r="J100" s="159" t="s">
        <v>513</v>
      </c>
      <c r="K100" s="159" t="s">
        <v>514</v>
      </c>
      <c r="L100" s="159" t="s">
        <v>515</v>
      </c>
      <c r="M100" s="159" t="s">
        <v>387</v>
      </c>
      <c r="N100" s="159" t="s">
        <v>595</v>
      </c>
      <c r="O100" s="159"/>
      <c r="P100" s="159"/>
      <c r="Q100" s="159" t="s">
        <v>511</v>
      </c>
      <c r="R100" s="159">
        <v>69081</v>
      </c>
      <c r="S100" s="159" t="s">
        <v>518</v>
      </c>
      <c r="T100" s="160" t="s">
        <v>231</v>
      </c>
      <c r="U100" s="159" t="s">
        <v>565</v>
      </c>
      <c r="V100" s="159" t="s">
        <v>549</v>
      </c>
      <c r="W100" s="161">
        <v>16</v>
      </c>
      <c r="X100" s="159"/>
      <c r="Y100" s="159"/>
      <c r="Z100" s="159"/>
      <c r="AA100" s="159" t="s">
        <v>237</v>
      </c>
      <c r="AB100" s="159" t="s">
        <v>566</v>
      </c>
      <c r="AC100" s="159" t="s">
        <v>511</v>
      </c>
      <c r="AD100" s="159">
        <v>69081</v>
      </c>
      <c r="AE100" s="162">
        <v>9.137804</v>
      </c>
      <c r="AF100" s="162">
        <v>0</v>
      </c>
      <c r="AG100" s="162">
        <f t="shared" si="1"/>
        <v>9.137804</v>
      </c>
    </row>
    <row r="101" spans="1:33" ht="15">
      <c r="A101" s="159" t="s">
        <v>507</v>
      </c>
      <c r="B101" s="160" t="s">
        <v>508</v>
      </c>
      <c r="C101" s="160" t="s">
        <v>509</v>
      </c>
      <c r="D101" s="159" t="s">
        <v>510</v>
      </c>
      <c r="E101" s="159">
        <v>42</v>
      </c>
      <c r="F101" s="159">
        <v>3</v>
      </c>
      <c r="G101" s="159" t="s">
        <v>511</v>
      </c>
      <c r="H101" s="159">
        <v>69081</v>
      </c>
      <c r="I101" s="159" t="s">
        <v>512</v>
      </c>
      <c r="J101" s="159" t="s">
        <v>513</v>
      </c>
      <c r="K101" s="159" t="s">
        <v>514</v>
      </c>
      <c r="L101" s="159" t="s">
        <v>515</v>
      </c>
      <c r="M101" s="159" t="s">
        <v>374</v>
      </c>
      <c r="N101" s="159" t="s">
        <v>596</v>
      </c>
      <c r="O101" s="159"/>
      <c r="P101" s="159"/>
      <c r="Q101" s="159" t="s">
        <v>511</v>
      </c>
      <c r="R101" s="159">
        <v>69002</v>
      </c>
      <c r="S101" s="159" t="s">
        <v>518</v>
      </c>
      <c r="T101" s="160" t="s">
        <v>373</v>
      </c>
      <c r="U101" s="159" t="s">
        <v>519</v>
      </c>
      <c r="V101" s="159" t="s">
        <v>520</v>
      </c>
      <c r="W101" s="161">
        <v>10</v>
      </c>
      <c r="X101" s="159"/>
      <c r="Y101" s="159"/>
      <c r="Z101" s="159"/>
      <c r="AA101" s="159" t="s">
        <v>237</v>
      </c>
      <c r="AB101" s="159" t="s">
        <v>566</v>
      </c>
      <c r="AC101" s="159" t="s">
        <v>511</v>
      </c>
      <c r="AD101" s="159">
        <v>69081</v>
      </c>
      <c r="AE101" s="162">
        <v>0.005302</v>
      </c>
      <c r="AF101" s="162">
        <v>0</v>
      </c>
      <c r="AG101" s="162">
        <f t="shared" si="1"/>
        <v>0.005302</v>
      </c>
    </row>
    <row r="102" spans="1:33" ht="15">
      <c r="A102" s="159" t="s">
        <v>507</v>
      </c>
      <c r="B102" s="160" t="s">
        <v>508</v>
      </c>
      <c r="C102" s="160" t="s">
        <v>509</v>
      </c>
      <c r="D102" s="159" t="s">
        <v>510</v>
      </c>
      <c r="E102" s="159">
        <v>42</v>
      </c>
      <c r="F102" s="159">
        <v>3</v>
      </c>
      <c r="G102" s="159" t="s">
        <v>511</v>
      </c>
      <c r="H102" s="159">
        <v>69081</v>
      </c>
      <c r="I102" s="159" t="s">
        <v>512</v>
      </c>
      <c r="J102" s="159" t="s">
        <v>513</v>
      </c>
      <c r="K102" s="159" t="s">
        <v>514</v>
      </c>
      <c r="L102" s="159" t="s">
        <v>515</v>
      </c>
      <c r="M102" s="159" t="s">
        <v>164</v>
      </c>
      <c r="N102" s="159" t="s">
        <v>593</v>
      </c>
      <c r="O102" s="159">
        <v>2747</v>
      </c>
      <c r="P102" s="159"/>
      <c r="Q102" s="159" t="s">
        <v>511</v>
      </c>
      <c r="R102" s="159">
        <v>69002</v>
      </c>
      <c r="S102" s="159" t="s">
        <v>518</v>
      </c>
      <c r="T102" s="160" t="s">
        <v>163</v>
      </c>
      <c r="U102" s="159" t="s">
        <v>548</v>
      </c>
      <c r="V102" s="159" t="s">
        <v>549</v>
      </c>
      <c r="W102" s="161">
        <v>40</v>
      </c>
      <c r="X102" s="159"/>
      <c r="Y102" s="159"/>
      <c r="Z102" s="159"/>
      <c r="AA102" s="159" t="s">
        <v>108</v>
      </c>
      <c r="AB102" s="159" t="s">
        <v>566</v>
      </c>
      <c r="AC102" s="159" t="s">
        <v>511</v>
      </c>
      <c r="AD102" s="159">
        <v>69081</v>
      </c>
      <c r="AE102" s="162">
        <v>0.79036</v>
      </c>
      <c r="AF102" s="162">
        <v>0</v>
      </c>
      <c r="AG102" s="162">
        <f t="shared" si="1"/>
        <v>0.79036</v>
      </c>
    </row>
    <row r="103" spans="1:33" ht="15">
      <c r="A103" s="159" t="s">
        <v>507</v>
      </c>
      <c r="B103" s="160" t="s">
        <v>508</v>
      </c>
      <c r="C103" s="160" t="s">
        <v>509</v>
      </c>
      <c r="D103" s="159" t="s">
        <v>510</v>
      </c>
      <c r="E103" s="159">
        <v>42</v>
      </c>
      <c r="F103" s="159">
        <v>3</v>
      </c>
      <c r="G103" s="159" t="s">
        <v>511</v>
      </c>
      <c r="H103" s="159">
        <v>69081</v>
      </c>
      <c r="I103" s="159" t="s">
        <v>512</v>
      </c>
      <c r="J103" s="159" t="s">
        <v>513</v>
      </c>
      <c r="K103" s="159" t="s">
        <v>514</v>
      </c>
      <c r="L103" s="159" t="s">
        <v>515</v>
      </c>
      <c r="M103" s="159" t="s">
        <v>160</v>
      </c>
      <c r="N103" s="159" t="s">
        <v>537</v>
      </c>
      <c r="O103" s="159">
        <v>2010</v>
      </c>
      <c r="P103" s="159">
        <v>18</v>
      </c>
      <c r="Q103" s="159" t="s">
        <v>511</v>
      </c>
      <c r="R103" s="159">
        <v>69002</v>
      </c>
      <c r="S103" s="159" t="s">
        <v>518</v>
      </c>
      <c r="T103" s="160" t="s">
        <v>159</v>
      </c>
      <c r="U103" s="159" t="s">
        <v>548</v>
      </c>
      <c r="V103" s="159" t="s">
        <v>549</v>
      </c>
      <c r="W103" s="161">
        <v>32</v>
      </c>
      <c r="X103" s="159"/>
      <c r="Y103" s="159"/>
      <c r="Z103" s="159"/>
      <c r="AA103" s="159" t="s">
        <v>108</v>
      </c>
      <c r="AB103" s="159" t="s">
        <v>566</v>
      </c>
      <c r="AC103" s="159" t="s">
        <v>511</v>
      </c>
      <c r="AD103" s="159">
        <v>69081</v>
      </c>
      <c r="AE103" s="162">
        <v>0.912076</v>
      </c>
      <c r="AF103" s="162">
        <v>0</v>
      </c>
      <c r="AG103" s="162">
        <f t="shared" si="1"/>
        <v>0.912076</v>
      </c>
    </row>
    <row r="104" spans="1:33" ht="15">
      <c r="A104" s="159" t="s">
        <v>507</v>
      </c>
      <c r="B104" s="160" t="s">
        <v>508</v>
      </c>
      <c r="C104" s="160" t="s">
        <v>509</v>
      </c>
      <c r="D104" s="159" t="s">
        <v>510</v>
      </c>
      <c r="E104" s="159">
        <v>42</v>
      </c>
      <c r="F104" s="159">
        <v>3</v>
      </c>
      <c r="G104" s="159" t="s">
        <v>511</v>
      </c>
      <c r="H104" s="159">
        <v>69081</v>
      </c>
      <c r="I104" s="159" t="s">
        <v>512</v>
      </c>
      <c r="J104" s="159" t="s">
        <v>513</v>
      </c>
      <c r="K104" s="159" t="s">
        <v>514</v>
      </c>
      <c r="L104" s="159" t="s">
        <v>515</v>
      </c>
      <c r="M104" s="159" t="s">
        <v>172</v>
      </c>
      <c r="N104" s="159" t="s">
        <v>597</v>
      </c>
      <c r="O104" s="159">
        <v>1217</v>
      </c>
      <c r="P104" s="159">
        <v>17</v>
      </c>
      <c r="Q104" s="159" t="s">
        <v>511</v>
      </c>
      <c r="R104" s="159">
        <v>69002</v>
      </c>
      <c r="S104" s="159" t="s">
        <v>518</v>
      </c>
      <c r="T104" s="160" t="s">
        <v>171</v>
      </c>
      <c r="U104" s="159" t="s">
        <v>548</v>
      </c>
      <c r="V104" s="159" t="s">
        <v>549</v>
      </c>
      <c r="W104" s="161">
        <v>20</v>
      </c>
      <c r="X104" s="159"/>
      <c r="Y104" s="159"/>
      <c r="Z104" s="159"/>
      <c r="AA104" s="159" t="s">
        <v>108</v>
      </c>
      <c r="AB104" s="159" t="s">
        <v>566</v>
      </c>
      <c r="AC104" s="159" t="s">
        <v>511</v>
      </c>
      <c r="AD104" s="159">
        <v>69081</v>
      </c>
      <c r="AE104" s="162">
        <v>0.310977</v>
      </c>
      <c r="AF104" s="162">
        <v>0</v>
      </c>
      <c r="AG104" s="162">
        <f t="shared" si="1"/>
        <v>0.310977</v>
      </c>
    </row>
    <row r="105" spans="1:33" ht="15">
      <c r="A105" s="159" t="s">
        <v>507</v>
      </c>
      <c r="B105" s="160" t="s">
        <v>508</v>
      </c>
      <c r="C105" s="160" t="s">
        <v>509</v>
      </c>
      <c r="D105" s="159" t="s">
        <v>510</v>
      </c>
      <c r="E105" s="159">
        <v>42</v>
      </c>
      <c r="F105" s="159">
        <v>3</v>
      </c>
      <c r="G105" s="159" t="s">
        <v>511</v>
      </c>
      <c r="H105" s="159">
        <v>69081</v>
      </c>
      <c r="I105" s="159" t="s">
        <v>512</v>
      </c>
      <c r="J105" s="159" t="s">
        <v>513</v>
      </c>
      <c r="K105" s="159" t="s">
        <v>514</v>
      </c>
      <c r="L105" s="159" t="s">
        <v>515</v>
      </c>
      <c r="M105" s="159" t="s">
        <v>145</v>
      </c>
      <c r="N105" s="159" t="s">
        <v>598</v>
      </c>
      <c r="O105" s="159" t="s">
        <v>599</v>
      </c>
      <c r="P105" s="159">
        <v>3</v>
      </c>
      <c r="Q105" s="159" t="s">
        <v>511</v>
      </c>
      <c r="R105" s="159">
        <v>69002</v>
      </c>
      <c r="S105" s="159" t="s">
        <v>518</v>
      </c>
      <c r="T105" s="160" t="s">
        <v>144</v>
      </c>
      <c r="U105" s="159" t="s">
        <v>570</v>
      </c>
      <c r="V105" s="159" t="s">
        <v>549</v>
      </c>
      <c r="W105" s="161">
        <v>16</v>
      </c>
      <c r="X105" s="159"/>
      <c r="Y105" s="159"/>
      <c r="Z105" s="159"/>
      <c r="AA105" s="159" t="s">
        <v>108</v>
      </c>
      <c r="AB105" s="159" t="s">
        <v>566</v>
      </c>
      <c r="AC105" s="159" t="s">
        <v>511</v>
      </c>
      <c r="AD105" s="159">
        <v>69081</v>
      </c>
      <c r="AE105" s="162">
        <v>0.455148</v>
      </c>
      <c r="AF105" s="162">
        <v>2.652905</v>
      </c>
      <c r="AG105" s="162">
        <f t="shared" si="1"/>
        <v>3.108053</v>
      </c>
    </row>
    <row r="106" spans="1:33" ht="15">
      <c r="A106" s="159" t="s">
        <v>507</v>
      </c>
      <c r="B106" s="160" t="s">
        <v>508</v>
      </c>
      <c r="C106" s="160" t="s">
        <v>509</v>
      </c>
      <c r="D106" s="159" t="s">
        <v>510</v>
      </c>
      <c r="E106" s="159">
        <v>42</v>
      </c>
      <c r="F106" s="159">
        <v>3</v>
      </c>
      <c r="G106" s="159" t="s">
        <v>511</v>
      </c>
      <c r="H106" s="159">
        <v>69081</v>
      </c>
      <c r="I106" s="159" t="s">
        <v>512</v>
      </c>
      <c r="J106" s="159" t="s">
        <v>513</v>
      </c>
      <c r="K106" s="159" t="s">
        <v>514</v>
      </c>
      <c r="L106" s="159" t="s">
        <v>515</v>
      </c>
      <c r="M106" s="159" t="s">
        <v>123</v>
      </c>
      <c r="N106" s="159" t="s">
        <v>600</v>
      </c>
      <c r="O106" s="159" t="s">
        <v>601</v>
      </c>
      <c r="P106" s="159" t="s">
        <v>601</v>
      </c>
      <c r="Q106" s="159" t="s">
        <v>511</v>
      </c>
      <c r="R106" s="159">
        <v>69002</v>
      </c>
      <c r="S106" s="159" t="s">
        <v>518</v>
      </c>
      <c r="T106" s="160" t="s">
        <v>122</v>
      </c>
      <c r="U106" s="159" t="s">
        <v>579</v>
      </c>
      <c r="V106" s="159" t="s">
        <v>549</v>
      </c>
      <c r="W106" s="161">
        <v>16</v>
      </c>
      <c r="X106" s="159"/>
      <c r="Y106" s="159"/>
      <c r="Z106" s="159"/>
      <c r="AA106" s="159" t="s">
        <v>108</v>
      </c>
      <c r="AB106" s="159" t="s">
        <v>566</v>
      </c>
      <c r="AC106" s="159" t="s">
        <v>511</v>
      </c>
      <c r="AD106" s="159">
        <v>69081</v>
      </c>
      <c r="AE106" s="162">
        <v>4.631005</v>
      </c>
      <c r="AF106" s="162">
        <v>2.2272980000000002</v>
      </c>
      <c r="AG106" s="162">
        <f t="shared" si="1"/>
        <v>6.858303</v>
      </c>
    </row>
    <row r="107" spans="1:33" ht="15">
      <c r="A107" s="159" t="s">
        <v>507</v>
      </c>
      <c r="B107" s="160" t="s">
        <v>508</v>
      </c>
      <c r="C107" s="160" t="s">
        <v>509</v>
      </c>
      <c r="D107" s="159" t="s">
        <v>510</v>
      </c>
      <c r="E107" s="159">
        <v>42</v>
      </c>
      <c r="F107" s="159">
        <v>3</v>
      </c>
      <c r="G107" s="159" t="s">
        <v>511</v>
      </c>
      <c r="H107" s="159">
        <v>69081</v>
      </c>
      <c r="I107" s="159" t="s">
        <v>512</v>
      </c>
      <c r="J107" s="159" t="s">
        <v>513</v>
      </c>
      <c r="K107" s="159" t="s">
        <v>514</v>
      </c>
      <c r="L107" s="159" t="s">
        <v>515</v>
      </c>
      <c r="M107" s="159" t="s">
        <v>143</v>
      </c>
      <c r="N107" s="159" t="s">
        <v>602</v>
      </c>
      <c r="O107" s="159">
        <v>588</v>
      </c>
      <c r="P107" s="159">
        <v>2</v>
      </c>
      <c r="Q107" s="159" t="s">
        <v>511</v>
      </c>
      <c r="R107" s="159">
        <v>69002</v>
      </c>
      <c r="S107" s="159" t="s">
        <v>518</v>
      </c>
      <c r="T107" s="160" t="s">
        <v>142</v>
      </c>
      <c r="U107" s="159" t="s">
        <v>570</v>
      </c>
      <c r="V107" s="159" t="s">
        <v>549</v>
      </c>
      <c r="W107" s="161">
        <v>20</v>
      </c>
      <c r="X107" s="159"/>
      <c r="Y107" s="159"/>
      <c r="Z107" s="159"/>
      <c r="AA107" s="159" t="s">
        <v>108</v>
      </c>
      <c r="AB107" s="159" t="s">
        <v>566</v>
      </c>
      <c r="AC107" s="159" t="s">
        <v>511</v>
      </c>
      <c r="AD107" s="159">
        <v>69081</v>
      </c>
      <c r="AE107" s="162">
        <v>0.275828</v>
      </c>
      <c r="AF107" s="162">
        <v>3.043947</v>
      </c>
      <c r="AG107" s="162">
        <f t="shared" si="1"/>
        <v>3.3197750000000004</v>
      </c>
    </row>
    <row r="108" spans="1:33" ht="15">
      <c r="A108" s="159" t="s">
        <v>507</v>
      </c>
      <c r="B108" s="160" t="s">
        <v>508</v>
      </c>
      <c r="C108" s="160" t="s">
        <v>509</v>
      </c>
      <c r="D108" s="159" t="s">
        <v>510</v>
      </c>
      <c r="E108" s="159">
        <v>42</v>
      </c>
      <c r="F108" s="159">
        <v>3</v>
      </c>
      <c r="G108" s="159" t="s">
        <v>511</v>
      </c>
      <c r="H108" s="159">
        <v>69081</v>
      </c>
      <c r="I108" s="159" t="s">
        <v>512</v>
      </c>
      <c r="J108" s="159" t="s">
        <v>513</v>
      </c>
      <c r="K108" s="159" t="s">
        <v>514</v>
      </c>
      <c r="L108" s="159" t="s">
        <v>515</v>
      </c>
      <c r="M108" s="159" t="s">
        <v>362</v>
      </c>
      <c r="N108" s="159" t="s">
        <v>591</v>
      </c>
      <c r="O108" s="159" t="s">
        <v>430</v>
      </c>
      <c r="P108" s="159"/>
      <c r="Q108" s="159" t="s">
        <v>511</v>
      </c>
      <c r="R108" s="159">
        <v>69002</v>
      </c>
      <c r="S108" s="159" t="s">
        <v>518</v>
      </c>
      <c r="T108" s="160" t="s">
        <v>361</v>
      </c>
      <c r="U108" s="159" t="s">
        <v>548</v>
      </c>
      <c r="V108" s="159" t="s">
        <v>549</v>
      </c>
      <c r="W108" s="161">
        <v>32</v>
      </c>
      <c r="X108" s="159"/>
      <c r="Y108" s="159"/>
      <c r="Z108" s="159"/>
      <c r="AA108" s="159" t="s">
        <v>108</v>
      </c>
      <c r="AB108" s="159" t="s">
        <v>566</v>
      </c>
      <c r="AC108" s="159" t="s">
        <v>511</v>
      </c>
      <c r="AD108" s="159">
        <v>69081</v>
      </c>
      <c r="AE108" s="162">
        <v>5.901752</v>
      </c>
      <c r="AF108" s="162">
        <v>0</v>
      </c>
      <c r="AG108" s="162">
        <f t="shared" si="1"/>
        <v>5.901752</v>
      </c>
    </row>
    <row r="109" spans="1:33" ht="15">
      <c r="A109" s="159" t="s">
        <v>507</v>
      </c>
      <c r="B109" s="160" t="s">
        <v>508</v>
      </c>
      <c r="C109" s="160" t="s">
        <v>509</v>
      </c>
      <c r="D109" s="159" t="s">
        <v>510</v>
      </c>
      <c r="E109" s="159">
        <v>42</v>
      </c>
      <c r="F109" s="159">
        <v>3</v>
      </c>
      <c r="G109" s="159" t="s">
        <v>511</v>
      </c>
      <c r="H109" s="159">
        <v>69081</v>
      </c>
      <c r="I109" s="159" t="s">
        <v>512</v>
      </c>
      <c r="J109" s="159" t="s">
        <v>513</v>
      </c>
      <c r="K109" s="159" t="s">
        <v>514</v>
      </c>
      <c r="L109" s="159" t="s">
        <v>515</v>
      </c>
      <c r="M109" s="159" t="s">
        <v>127</v>
      </c>
      <c r="N109" s="159" t="s">
        <v>603</v>
      </c>
      <c r="O109" s="159">
        <v>3347</v>
      </c>
      <c r="P109" s="159"/>
      <c r="Q109" s="159" t="s">
        <v>511</v>
      </c>
      <c r="R109" s="159">
        <v>69003</v>
      </c>
      <c r="S109" s="159" t="s">
        <v>518</v>
      </c>
      <c r="T109" s="160" t="s">
        <v>126</v>
      </c>
      <c r="U109" s="159" t="s">
        <v>548</v>
      </c>
      <c r="V109" s="159" t="s">
        <v>549</v>
      </c>
      <c r="W109" s="161">
        <v>25</v>
      </c>
      <c r="X109" s="159"/>
      <c r="Y109" s="159"/>
      <c r="Z109" s="159"/>
      <c r="AA109" s="159" t="s">
        <v>108</v>
      </c>
      <c r="AB109" s="159" t="s">
        <v>566</v>
      </c>
      <c r="AC109" s="159" t="s">
        <v>511</v>
      </c>
      <c r="AD109" s="159">
        <v>69081</v>
      </c>
      <c r="AE109" s="162">
        <v>6.334838</v>
      </c>
      <c r="AF109" s="162">
        <v>0</v>
      </c>
      <c r="AG109" s="162">
        <f t="shared" si="1"/>
        <v>6.334838</v>
      </c>
    </row>
    <row r="110" spans="1:33" ht="15">
      <c r="A110" s="159" t="s">
        <v>507</v>
      </c>
      <c r="B110" s="159" t="s">
        <v>508</v>
      </c>
      <c r="C110" s="159" t="s">
        <v>509</v>
      </c>
      <c r="D110" s="159" t="s">
        <v>510</v>
      </c>
      <c r="E110" s="159">
        <v>42</v>
      </c>
      <c r="F110" s="159">
        <v>3</v>
      </c>
      <c r="G110" s="159" t="s">
        <v>511</v>
      </c>
      <c r="H110" s="159">
        <v>69081</v>
      </c>
      <c r="I110" s="159" t="s">
        <v>512</v>
      </c>
      <c r="J110" s="159" t="s">
        <v>513</v>
      </c>
      <c r="K110" s="159" t="s">
        <v>514</v>
      </c>
      <c r="L110" s="159" t="s">
        <v>515</v>
      </c>
      <c r="M110" s="159" t="s">
        <v>135</v>
      </c>
      <c r="N110" s="159" t="s">
        <v>604</v>
      </c>
      <c r="O110" s="159">
        <v>171</v>
      </c>
      <c r="P110" s="159">
        <v>1</v>
      </c>
      <c r="Q110" s="159" t="s">
        <v>552</v>
      </c>
      <c r="R110" s="159">
        <v>69141</v>
      </c>
      <c r="S110" s="159" t="s">
        <v>518</v>
      </c>
      <c r="T110" s="159" t="s">
        <v>134</v>
      </c>
      <c r="U110" s="159" t="s">
        <v>548</v>
      </c>
      <c r="V110" s="159" t="s">
        <v>549</v>
      </c>
      <c r="W110" s="159">
        <v>25</v>
      </c>
      <c r="X110" s="159"/>
      <c r="Y110" s="159"/>
      <c r="Z110" s="159"/>
      <c r="AA110" s="159" t="s">
        <v>108</v>
      </c>
      <c r="AB110" s="159" t="s">
        <v>566</v>
      </c>
      <c r="AC110" s="159" t="s">
        <v>511</v>
      </c>
      <c r="AD110" s="159">
        <v>69081</v>
      </c>
      <c r="AE110" s="159">
        <v>5.259537</v>
      </c>
      <c r="AF110" s="159">
        <v>0</v>
      </c>
      <c r="AG110" s="162">
        <f t="shared" si="1"/>
        <v>5.259537</v>
      </c>
    </row>
    <row r="111" spans="1:33" ht="15">
      <c r="A111" s="159" t="s">
        <v>507</v>
      </c>
      <c r="B111" s="160" t="s">
        <v>508</v>
      </c>
      <c r="C111" s="160" t="s">
        <v>509</v>
      </c>
      <c r="D111" s="159" t="s">
        <v>510</v>
      </c>
      <c r="E111" s="159">
        <v>42</v>
      </c>
      <c r="F111" s="159">
        <v>3</v>
      </c>
      <c r="G111" s="159" t="s">
        <v>511</v>
      </c>
      <c r="H111" s="159">
        <v>69081</v>
      </c>
      <c r="I111" s="159" t="s">
        <v>512</v>
      </c>
      <c r="J111" s="159" t="s">
        <v>513</v>
      </c>
      <c r="K111" s="159" t="s">
        <v>514</v>
      </c>
      <c r="L111" s="159" t="s">
        <v>515</v>
      </c>
      <c r="M111" s="159" t="s">
        <v>368</v>
      </c>
      <c r="N111" s="159" t="s">
        <v>581</v>
      </c>
      <c r="O111" s="159" t="s">
        <v>582</v>
      </c>
      <c r="P111" s="159">
        <v>1</v>
      </c>
      <c r="Q111" s="159" t="s">
        <v>511</v>
      </c>
      <c r="R111" s="159">
        <v>69002</v>
      </c>
      <c r="S111" s="159" t="s">
        <v>518</v>
      </c>
      <c r="T111" s="160" t="s">
        <v>367</v>
      </c>
      <c r="U111" s="159" t="s">
        <v>548</v>
      </c>
      <c r="V111" s="159" t="s">
        <v>549</v>
      </c>
      <c r="W111" s="161">
        <v>25</v>
      </c>
      <c r="X111" s="159"/>
      <c r="Y111" s="159"/>
      <c r="Z111" s="159"/>
      <c r="AA111" s="159" t="s">
        <v>108</v>
      </c>
      <c r="AB111" s="159" t="s">
        <v>566</v>
      </c>
      <c r="AC111" s="159" t="s">
        <v>511</v>
      </c>
      <c r="AD111" s="159">
        <v>69081</v>
      </c>
      <c r="AE111" s="162">
        <v>2.737335</v>
      </c>
      <c r="AF111" s="162">
        <v>0</v>
      </c>
      <c r="AG111" s="162">
        <f t="shared" si="1"/>
        <v>2.737335</v>
      </c>
    </row>
    <row r="112" spans="1:33" ht="15">
      <c r="A112" s="159" t="s">
        <v>507</v>
      </c>
      <c r="B112" s="160" t="s">
        <v>508</v>
      </c>
      <c r="C112" s="160" t="s">
        <v>509</v>
      </c>
      <c r="D112" s="159" t="s">
        <v>510</v>
      </c>
      <c r="E112" s="159">
        <v>42</v>
      </c>
      <c r="F112" s="159">
        <v>3</v>
      </c>
      <c r="G112" s="159" t="s">
        <v>511</v>
      </c>
      <c r="H112" s="159">
        <v>69081</v>
      </c>
      <c r="I112" s="159" t="s">
        <v>512</v>
      </c>
      <c r="J112" s="159" t="s">
        <v>513</v>
      </c>
      <c r="K112" s="159" t="s">
        <v>514</v>
      </c>
      <c r="L112" s="159" t="s">
        <v>515</v>
      </c>
      <c r="M112" s="159" t="s">
        <v>114</v>
      </c>
      <c r="N112" s="159" t="s">
        <v>114</v>
      </c>
      <c r="O112" s="159"/>
      <c r="P112" s="159"/>
      <c r="Q112" s="159" t="s">
        <v>511</v>
      </c>
      <c r="R112" s="159">
        <v>69002</v>
      </c>
      <c r="S112" s="159" t="s">
        <v>518</v>
      </c>
      <c r="T112" s="160" t="s">
        <v>113</v>
      </c>
      <c r="U112" s="159" t="s">
        <v>579</v>
      </c>
      <c r="V112" s="159" t="s">
        <v>549</v>
      </c>
      <c r="W112" s="161">
        <v>100</v>
      </c>
      <c r="X112" s="159"/>
      <c r="Y112" s="159"/>
      <c r="Z112" s="159"/>
      <c r="AA112" s="159" t="s">
        <v>108</v>
      </c>
      <c r="AB112" s="159" t="s">
        <v>566</v>
      </c>
      <c r="AC112" s="159" t="s">
        <v>511</v>
      </c>
      <c r="AD112" s="159">
        <v>69081</v>
      </c>
      <c r="AE112" s="162">
        <v>5.800499</v>
      </c>
      <c r="AF112" s="162">
        <v>2.888896</v>
      </c>
      <c r="AG112" s="162">
        <f t="shared" si="1"/>
        <v>8.689395000000001</v>
      </c>
    </row>
    <row r="113" spans="1:33" ht="15">
      <c r="A113" s="159" t="s">
        <v>507</v>
      </c>
      <c r="B113" s="160" t="s">
        <v>508</v>
      </c>
      <c r="C113" s="160" t="s">
        <v>509</v>
      </c>
      <c r="D113" s="159" t="s">
        <v>510</v>
      </c>
      <c r="E113" s="159">
        <v>42</v>
      </c>
      <c r="F113" s="159">
        <v>3</v>
      </c>
      <c r="G113" s="159" t="s">
        <v>511</v>
      </c>
      <c r="H113" s="159">
        <v>69081</v>
      </c>
      <c r="I113" s="159" t="s">
        <v>512</v>
      </c>
      <c r="J113" s="159" t="s">
        <v>513</v>
      </c>
      <c r="K113" s="159" t="s">
        <v>514</v>
      </c>
      <c r="L113" s="159" t="s">
        <v>515</v>
      </c>
      <c r="M113" s="159" t="s">
        <v>109</v>
      </c>
      <c r="N113" s="159" t="s">
        <v>605</v>
      </c>
      <c r="O113" s="159">
        <v>515</v>
      </c>
      <c r="P113" s="159">
        <v>21</v>
      </c>
      <c r="Q113" s="159" t="s">
        <v>511</v>
      </c>
      <c r="R113" s="159">
        <v>69002</v>
      </c>
      <c r="S113" s="159" t="s">
        <v>518</v>
      </c>
      <c r="T113" s="160" t="s">
        <v>107</v>
      </c>
      <c r="U113" s="159" t="s">
        <v>579</v>
      </c>
      <c r="V113" s="159" t="s">
        <v>549</v>
      </c>
      <c r="W113" s="161">
        <v>25</v>
      </c>
      <c r="X113" s="159"/>
      <c r="Y113" s="159"/>
      <c r="Z113" s="159"/>
      <c r="AA113" s="159" t="s">
        <v>108</v>
      </c>
      <c r="AB113" s="159" t="s">
        <v>566</v>
      </c>
      <c r="AC113" s="159" t="s">
        <v>511</v>
      </c>
      <c r="AD113" s="159">
        <v>69081</v>
      </c>
      <c r="AE113" s="162">
        <v>5.586</v>
      </c>
      <c r="AF113" s="162">
        <v>5.314</v>
      </c>
      <c r="AG113" s="162">
        <f t="shared" si="1"/>
        <v>10.9</v>
      </c>
    </row>
    <row r="114" spans="1:35" ht="15">
      <c r="A114" s="159" t="s">
        <v>507</v>
      </c>
      <c r="B114" s="160" t="s">
        <v>508</v>
      </c>
      <c r="C114" s="160" t="s">
        <v>509</v>
      </c>
      <c r="D114" s="159" t="s">
        <v>510</v>
      </c>
      <c r="E114" s="159">
        <v>42</v>
      </c>
      <c r="F114" s="159">
        <v>3</v>
      </c>
      <c r="G114" s="159" t="s">
        <v>511</v>
      </c>
      <c r="H114" s="159">
        <v>69081</v>
      </c>
      <c r="I114" s="159" t="s">
        <v>512</v>
      </c>
      <c r="J114" s="159" t="s">
        <v>513</v>
      </c>
      <c r="K114" s="159" t="s">
        <v>514</v>
      </c>
      <c r="L114" s="159" t="s">
        <v>515</v>
      </c>
      <c r="M114" s="159" t="s">
        <v>116</v>
      </c>
      <c r="N114" s="159" t="s">
        <v>537</v>
      </c>
      <c r="O114" s="159" t="s">
        <v>430</v>
      </c>
      <c r="P114" s="159">
        <v>22</v>
      </c>
      <c r="Q114" s="159" t="s">
        <v>511</v>
      </c>
      <c r="R114" s="159">
        <v>69002</v>
      </c>
      <c r="S114" s="159" t="s">
        <v>518</v>
      </c>
      <c r="T114" s="160" t="s">
        <v>115</v>
      </c>
      <c r="U114" s="159" t="s">
        <v>548</v>
      </c>
      <c r="V114" s="159" t="s">
        <v>549</v>
      </c>
      <c r="W114" s="161">
        <v>100</v>
      </c>
      <c r="X114" s="159"/>
      <c r="Y114" s="159"/>
      <c r="Z114" s="159"/>
      <c r="AA114" s="159" t="s">
        <v>108</v>
      </c>
      <c r="AB114" s="159" t="s">
        <v>566</v>
      </c>
      <c r="AC114" s="159" t="s">
        <v>511</v>
      </c>
      <c r="AD114" s="159">
        <v>69081</v>
      </c>
      <c r="AE114" s="162">
        <v>7.960148</v>
      </c>
      <c r="AF114" s="162">
        <v>0</v>
      </c>
      <c r="AG114" s="162">
        <f t="shared" si="1"/>
        <v>7.960148</v>
      </c>
      <c r="AI114" t="s">
        <v>606</v>
      </c>
    </row>
    <row r="115" spans="1:33" ht="15">
      <c r="A115" s="159" t="s">
        <v>507</v>
      </c>
      <c r="B115" s="160" t="s">
        <v>508</v>
      </c>
      <c r="C115" s="160" t="s">
        <v>509</v>
      </c>
      <c r="D115" s="159" t="s">
        <v>510</v>
      </c>
      <c r="E115" s="159">
        <v>42</v>
      </c>
      <c r="F115" s="159">
        <v>3</v>
      </c>
      <c r="G115" s="159" t="s">
        <v>511</v>
      </c>
      <c r="H115" s="159">
        <v>69081</v>
      </c>
      <c r="I115" s="159" t="s">
        <v>512</v>
      </c>
      <c r="J115" s="159" t="s">
        <v>513</v>
      </c>
      <c r="K115" s="159" t="s">
        <v>514</v>
      </c>
      <c r="L115" s="159" t="s">
        <v>515</v>
      </c>
      <c r="M115" s="159" t="s">
        <v>607</v>
      </c>
      <c r="N115" s="159" t="s">
        <v>608</v>
      </c>
      <c r="O115" s="159">
        <v>651</v>
      </c>
      <c r="P115" s="159">
        <v>13</v>
      </c>
      <c r="Q115" s="159" t="s">
        <v>511</v>
      </c>
      <c r="R115" s="159">
        <v>69002</v>
      </c>
      <c r="S115" s="159" t="s">
        <v>518</v>
      </c>
      <c r="T115" s="160" t="s">
        <v>207</v>
      </c>
      <c r="U115" s="159" t="s">
        <v>548</v>
      </c>
      <c r="V115" s="159" t="s">
        <v>549</v>
      </c>
      <c r="W115" s="161">
        <v>16</v>
      </c>
      <c r="X115" s="159"/>
      <c r="Y115" s="159"/>
      <c r="Z115" s="159"/>
      <c r="AA115" s="159" t="s">
        <v>108</v>
      </c>
      <c r="AB115" s="159" t="s">
        <v>566</v>
      </c>
      <c r="AC115" s="159" t="s">
        <v>511</v>
      </c>
      <c r="AD115" s="159">
        <v>69081</v>
      </c>
      <c r="AE115" s="162">
        <v>0.081106</v>
      </c>
      <c r="AF115" s="162">
        <v>0</v>
      </c>
      <c r="AG115" s="162">
        <f t="shared" si="1"/>
        <v>0.081106</v>
      </c>
    </row>
    <row r="116" spans="1:33" ht="15">
      <c r="A116" s="159" t="s">
        <v>507</v>
      </c>
      <c r="B116" s="160" t="s">
        <v>508</v>
      </c>
      <c r="C116" s="160" t="s">
        <v>509</v>
      </c>
      <c r="D116" s="159" t="s">
        <v>510</v>
      </c>
      <c r="E116" s="159">
        <v>42</v>
      </c>
      <c r="F116" s="159">
        <v>3</v>
      </c>
      <c r="G116" s="159" t="s">
        <v>511</v>
      </c>
      <c r="H116" s="159">
        <v>69081</v>
      </c>
      <c r="I116" s="159" t="s">
        <v>512</v>
      </c>
      <c r="J116" s="159" t="s">
        <v>513</v>
      </c>
      <c r="K116" s="159" t="s">
        <v>514</v>
      </c>
      <c r="L116" s="159" t="s">
        <v>515</v>
      </c>
      <c r="M116" s="159" t="s">
        <v>150</v>
      </c>
      <c r="N116" s="159" t="s">
        <v>537</v>
      </c>
      <c r="O116" s="159">
        <v>283</v>
      </c>
      <c r="P116" s="159">
        <v>43</v>
      </c>
      <c r="Q116" s="159" t="s">
        <v>511</v>
      </c>
      <c r="R116" s="159">
        <v>69002</v>
      </c>
      <c r="S116" s="159" t="s">
        <v>518</v>
      </c>
      <c r="T116" s="160" t="s">
        <v>149</v>
      </c>
      <c r="U116" s="159" t="s">
        <v>548</v>
      </c>
      <c r="V116" s="159" t="s">
        <v>549</v>
      </c>
      <c r="W116" s="161">
        <v>50</v>
      </c>
      <c r="X116" s="159"/>
      <c r="Y116" s="159"/>
      <c r="Z116" s="159"/>
      <c r="AA116" s="159" t="s">
        <v>108</v>
      </c>
      <c r="AB116" s="159" t="s">
        <v>566</v>
      </c>
      <c r="AC116" s="159" t="s">
        <v>511</v>
      </c>
      <c r="AD116" s="159">
        <v>69081</v>
      </c>
      <c r="AE116" s="162">
        <v>1.770426</v>
      </c>
      <c r="AF116" s="162">
        <v>0</v>
      </c>
      <c r="AG116" s="162">
        <f t="shared" si="1"/>
        <v>1.770426</v>
      </c>
    </row>
    <row r="117" spans="1:33" ht="15">
      <c r="A117" s="159" t="s">
        <v>507</v>
      </c>
      <c r="B117" s="160" t="s">
        <v>508</v>
      </c>
      <c r="C117" s="160" t="s">
        <v>509</v>
      </c>
      <c r="D117" s="159" t="s">
        <v>510</v>
      </c>
      <c r="E117" s="159">
        <v>42</v>
      </c>
      <c r="F117" s="159">
        <v>3</v>
      </c>
      <c r="G117" s="159" t="s">
        <v>511</v>
      </c>
      <c r="H117" s="159">
        <v>69081</v>
      </c>
      <c r="I117" s="159" t="s">
        <v>512</v>
      </c>
      <c r="J117" s="159" t="s">
        <v>513</v>
      </c>
      <c r="K117" s="159" t="s">
        <v>514</v>
      </c>
      <c r="L117" s="159" t="s">
        <v>515</v>
      </c>
      <c r="M117" s="159" t="s">
        <v>609</v>
      </c>
      <c r="N117" s="159" t="s">
        <v>610</v>
      </c>
      <c r="O117" s="159">
        <v>2995</v>
      </c>
      <c r="P117" s="159" t="s">
        <v>611</v>
      </c>
      <c r="Q117" s="159" t="s">
        <v>511</v>
      </c>
      <c r="R117" s="159">
        <v>69002</v>
      </c>
      <c r="S117" s="159" t="s">
        <v>518</v>
      </c>
      <c r="T117" s="160" t="s">
        <v>33</v>
      </c>
      <c r="U117" s="159" t="s">
        <v>579</v>
      </c>
      <c r="V117" s="159" t="s">
        <v>549</v>
      </c>
      <c r="W117" s="161">
        <v>200</v>
      </c>
      <c r="X117" s="159"/>
      <c r="Y117" s="159"/>
      <c r="Z117" s="159"/>
      <c r="AA117" s="159" t="s">
        <v>108</v>
      </c>
      <c r="AB117" s="159" t="s">
        <v>566</v>
      </c>
      <c r="AC117" s="159" t="s">
        <v>511</v>
      </c>
      <c r="AD117" s="159">
        <v>69081</v>
      </c>
      <c r="AE117" s="162">
        <v>32.956333</v>
      </c>
      <c r="AF117" s="162">
        <v>15.502263</v>
      </c>
      <c r="AG117" s="162">
        <f t="shared" si="1"/>
        <v>48.458596</v>
      </c>
    </row>
    <row r="118" spans="1:33" ht="15">
      <c r="A118" s="159" t="s">
        <v>507</v>
      </c>
      <c r="B118" s="160" t="s">
        <v>508</v>
      </c>
      <c r="C118" s="160" t="s">
        <v>509</v>
      </c>
      <c r="D118" s="159" t="s">
        <v>510</v>
      </c>
      <c r="E118" s="159">
        <v>42</v>
      </c>
      <c r="F118" s="159">
        <v>3</v>
      </c>
      <c r="G118" s="159" t="s">
        <v>511</v>
      </c>
      <c r="H118" s="159">
        <v>69081</v>
      </c>
      <c r="I118" s="159" t="s">
        <v>512</v>
      </c>
      <c r="J118" s="159" t="s">
        <v>513</v>
      </c>
      <c r="K118" s="159" t="s">
        <v>514</v>
      </c>
      <c r="L118" s="159" t="s">
        <v>515</v>
      </c>
      <c r="M118" s="159" t="s">
        <v>612</v>
      </c>
      <c r="N118" s="159" t="s">
        <v>568</v>
      </c>
      <c r="O118" s="159">
        <v>38</v>
      </c>
      <c r="P118" s="159">
        <v>10</v>
      </c>
      <c r="Q118" s="159" t="s">
        <v>511</v>
      </c>
      <c r="R118" s="159">
        <v>69002</v>
      </c>
      <c r="S118" s="159" t="s">
        <v>518</v>
      </c>
      <c r="T118" s="160" t="s">
        <v>119</v>
      </c>
      <c r="U118" s="159" t="s">
        <v>548</v>
      </c>
      <c r="V118" s="159" t="s">
        <v>549</v>
      </c>
      <c r="W118" s="161">
        <v>125</v>
      </c>
      <c r="X118" s="159"/>
      <c r="Y118" s="159"/>
      <c r="Z118" s="159"/>
      <c r="AA118" s="159" t="s">
        <v>108</v>
      </c>
      <c r="AB118" s="159" t="s">
        <v>566</v>
      </c>
      <c r="AC118" s="159" t="s">
        <v>511</v>
      </c>
      <c r="AD118" s="159">
        <v>69081</v>
      </c>
      <c r="AE118" s="162">
        <v>7.105104</v>
      </c>
      <c r="AF118" s="162">
        <v>0</v>
      </c>
      <c r="AG118" s="162">
        <f t="shared" si="1"/>
        <v>7.105104</v>
      </c>
    </row>
    <row r="119" spans="1:33" ht="15">
      <c r="A119" s="159" t="s">
        <v>507</v>
      </c>
      <c r="B119" s="160" t="s">
        <v>508</v>
      </c>
      <c r="C119" s="160" t="s">
        <v>509</v>
      </c>
      <c r="D119" s="159" t="s">
        <v>510</v>
      </c>
      <c r="E119" s="159">
        <v>42</v>
      </c>
      <c r="F119" s="159">
        <v>3</v>
      </c>
      <c r="G119" s="159" t="s">
        <v>511</v>
      </c>
      <c r="H119" s="159">
        <v>69081</v>
      </c>
      <c r="I119" s="159" t="s">
        <v>512</v>
      </c>
      <c r="J119" s="159" t="s">
        <v>513</v>
      </c>
      <c r="K119" s="159" t="s">
        <v>514</v>
      </c>
      <c r="L119" s="159" t="s">
        <v>515</v>
      </c>
      <c r="M119" s="159" t="s">
        <v>176</v>
      </c>
      <c r="N119" s="159" t="s">
        <v>613</v>
      </c>
      <c r="O119" s="159" t="s">
        <v>601</v>
      </c>
      <c r="P119" s="159" t="s">
        <v>601</v>
      </c>
      <c r="Q119" s="159" t="s">
        <v>511</v>
      </c>
      <c r="R119" s="159">
        <v>69002</v>
      </c>
      <c r="S119" s="159" t="s">
        <v>518</v>
      </c>
      <c r="T119" s="160" t="s">
        <v>175</v>
      </c>
      <c r="U119" s="159" t="s">
        <v>579</v>
      </c>
      <c r="V119" s="159" t="s">
        <v>549</v>
      </c>
      <c r="W119" s="161">
        <v>25</v>
      </c>
      <c r="X119" s="159"/>
      <c r="Y119" s="159"/>
      <c r="Z119" s="159"/>
      <c r="AA119" s="159" t="s">
        <v>108</v>
      </c>
      <c r="AB119" s="159" t="s">
        <v>566</v>
      </c>
      <c r="AC119" s="159" t="s">
        <v>511</v>
      </c>
      <c r="AD119" s="159">
        <v>69081</v>
      </c>
      <c r="AE119" s="162">
        <v>0.194</v>
      </c>
      <c r="AF119" s="162">
        <v>0.062</v>
      </c>
      <c r="AG119" s="162">
        <f t="shared" si="1"/>
        <v>0.256</v>
      </c>
    </row>
    <row r="120" spans="1:33" ht="15">
      <c r="A120" s="159" t="s">
        <v>507</v>
      </c>
      <c r="B120" s="160" t="s">
        <v>508</v>
      </c>
      <c r="C120" s="160" t="s">
        <v>509</v>
      </c>
      <c r="D120" s="159" t="s">
        <v>510</v>
      </c>
      <c r="E120" s="159">
        <v>42</v>
      </c>
      <c r="F120" s="159">
        <v>3</v>
      </c>
      <c r="G120" s="159" t="s">
        <v>511</v>
      </c>
      <c r="H120" s="159">
        <v>69081</v>
      </c>
      <c r="I120" s="159" t="s">
        <v>512</v>
      </c>
      <c r="J120" s="159" t="s">
        <v>513</v>
      </c>
      <c r="K120" s="159" t="s">
        <v>514</v>
      </c>
      <c r="L120" s="159" t="s">
        <v>515</v>
      </c>
      <c r="M120" s="159" t="s">
        <v>162</v>
      </c>
      <c r="N120" s="159" t="s">
        <v>614</v>
      </c>
      <c r="O120" s="159">
        <v>499</v>
      </c>
      <c r="P120" s="159">
        <v>11</v>
      </c>
      <c r="Q120" s="159" t="s">
        <v>511</v>
      </c>
      <c r="R120" s="159">
        <v>69002</v>
      </c>
      <c r="S120" s="159" t="s">
        <v>518</v>
      </c>
      <c r="T120" s="160" t="s">
        <v>161</v>
      </c>
      <c r="U120" s="159" t="s">
        <v>548</v>
      </c>
      <c r="V120" s="159" t="s">
        <v>549</v>
      </c>
      <c r="W120" s="161">
        <v>25</v>
      </c>
      <c r="X120" s="159"/>
      <c r="Y120" s="159"/>
      <c r="Z120" s="159"/>
      <c r="AA120" s="159" t="s">
        <v>108</v>
      </c>
      <c r="AB120" s="159" t="s">
        <v>566</v>
      </c>
      <c r="AC120" s="159" t="s">
        <v>511</v>
      </c>
      <c r="AD120" s="159">
        <v>69081</v>
      </c>
      <c r="AE120" s="162">
        <v>0.888921</v>
      </c>
      <c r="AF120" s="162">
        <v>0</v>
      </c>
      <c r="AG120" s="162">
        <f t="shared" si="1"/>
        <v>0.888921</v>
      </c>
    </row>
    <row r="121" spans="1:33" ht="15">
      <c r="A121" s="159" t="s">
        <v>507</v>
      </c>
      <c r="B121" s="160" t="s">
        <v>508</v>
      </c>
      <c r="C121" s="160" t="s">
        <v>509</v>
      </c>
      <c r="D121" s="159" t="s">
        <v>510</v>
      </c>
      <c r="E121" s="159">
        <v>42</v>
      </c>
      <c r="F121" s="159">
        <v>3</v>
      </c>
      <c r="G121" s="159" t="s">
        <v>511</v>
      </c>
      <c r="H121" s="159">
        <v>69081</v>
      </c>
      <c r="I121" s="159" t="s">
        <v>512</v>
      </c>
      <c r="J121" s="159" t="s">
        <v>513</v>
      </c>
      <c r="K121" s="159" t="s">
        <v>514</v>
      </c>
      <c r="L121" s="159" t="s">
        <v>515</v>
      </c>
      <c r="M121" s="159" t="s">
        <v>228</v>
      </c>
      <c r="N121" s="159" t="s">
        <v>615</v>
      </c>
      <c r="O121" s="159">
        <v>2238</v>
      </c>
      <c r="P121" s="159">
        <v>4</v>
      </c>
      <c r="Q121" s="159" t="s">
        <v>511</v>
      </c>
      <c r="R121" s="159">
        <v>69002</v>
      </c>
      <c r="S121" s="159" t="s">
        <v>518</v>
      </c>
      <c r="T121" s="160" t="s">
        <v>227</v>
      </c>
      <c r="U121" s="159" t="s">
        <v>519</v>
      </c>
      <c r="V121" s="159" t="s">
        <v>520</v>
      </c>
      <c r="W121" s="161">
        <v>10</v>
      </c>
      <c r="X121" s="159"/>
      <c r="Y121" s="159"/>
      <c r="Z121" s="159"/>
      <c r="AA121" s="159" t="s">
        <v>108</v>
      </c>
      <c r="AB121" s="159" t="s">
        <v>566</v>
      </c>
      <c r="AC121" s="159" t="s">
        <v>511</v>
      </c>
      <c r="AD121" s="159">
        <v>69081</v>
      </c>
      <c r="AE121" s="162">
        <v>0.002631</v>
      </c>
      <c r="AF121" s="162">
        <v>0</v>
      </c>
      <c r="AG121" s="162">
        <f t="shared" si="1"/>
        <v>0.002631</v>
      </c>
    </row>
    <row r="122" spans="1:33" ht="15">
      <c r="A122" s="159" t="s">
        <v>507</v>
      </c>
      <c r="B122" s="160" t="s">
        <v>508</v>
      </c>
      <c r="C122" s="160" t="s">
        <v>509</v>
      </c>
      <c r="D122" s="159" t="s">
        <v>510</v>
      </c>
      <c r="E122" s="159">
        <v>42</v>
      </c>
      <c r="F122" s="159">
        <v>3</v>
      </c>
      <c r="G122" s="159" t="s">
        <v>511</v>
      </c>
      <c r="H122" s="159">
        <v>69081</v>
      </c>
      <c r="I122" s="159" t="s">
        <v>512</v>
      </c>
      <c r="J122" s="159" t="s">
        <v>513</v>
      </c>
      <c r="K122" s="159" t="s">
        <v>514</v>
      </c>
      <c r="L122" s="159" t="s">
        <v>515</v>
      </c>
      <c r="M122" s="159" t="s">
        <v>192</v>
      </c>
      <c r="N122" s="159" t="s">
        <v>616</v>
      </c>
      <c r="O122" s="159">
        <v>1284</v>
      </c>
      <c r="P122" s="159">
        <v>8</v>
      </c>
      <c r="Q122" s="159" t="s">
        <v>511</v>
      </c>
      <c r="R122" s="159">
        <v>69002</v>
      </c>
      <c r="S122" s="159" t="s">
        <v>518</v>
      </c>
      <c r="T122" s="160" t="s">
        <v>191</v>
      </c>
      <c r="U122" s="159" t="s">
        <v>519</v>
      </c>
      <c r="V122" s="159" t="s">
        <v>549</v>
      </c>
      <c r="W122" s="161">
        <v>25</v>
      </c>
      <c r="X122" s="159"/>
      <c r="Y122" s="159"/>
      <c r="Z122" s="159"/>
      <c r="AA122" s="159" t="s">
        <v>108</v>
      </c>
      <c r="AB122" s="159" t="s">
        <v>566</v>
      </c>
      <c r="AC122" s="159" t="s">
        <v>511</v>
      </c>
      <c r="AD122" s="159">
        <v>69081</v>
      </c>
      <c r="AE122" s="162">
        <v>0.16916</v>
      </c>
      <c r="AF122" s="162">
        <v>0</v>
      </c>
      <c r="AG122" s="162">
        <f t="shared" si="1"/>
        <v>0.16916</v>
      </c>
    </row>
    <row r="123" spans="1:33" ht="15">
      <c r="A123" s="159" t="s">
        <v>507</v>
      </c>
      <c r="B123" s="160" t="s">
        <v>508</v>
      </c>
      <c r="C123" s="160" t="s">
        <v>509</v>
      </c>
      <c r="D123" s="159" t="s">
        <v>510</v>
      </c>
      <c r="E123" s="159">
        <v>42</v>
      </c>
      <c r="F123" s="159">
        <v>3</v>
      </c>
      <c r="G123" s="159" t="s">
        <v>511</v>
      </c>
      <c r="H123" s="159">
        <v>69081</v>
      </c>
      <c r="I123" s="159" t="s">
        <v>512</v>
      </c>
      <c r="J123" s="159" t="s">
        <v>513</v>
      </c>
      <c r="K123" s="159" t="s">
        <v>514</v>
      </c>
      <c r="L123" s="159" t="s">
        <v>515</v>
      </c>
      <c r="M123" s="159" t="s">
        <v>220</v>
      </c>
      <c r="N123" s="159" t="s">
        <v>614</v>
      </c>
      <c r="O123" s="159">
        <v>449</v>
      </c>
      <c r="P123" s="159">
        <v>11</v>
      </c>
      <c r="Q123" s="159" t="s">
        <v>511</v>
      </c>
      <c r="R123" s="159">
        <v>69002</v>
      </c>
      <c r="S123" s="159" t="s">
        <v>518</v>
      </c>
      <c r="T123" s="160" t="s">
        <v>219</v>
      </c>
      <c r="U123" s="159" t="s">
        <v>519</v>
      </c>
      <c r="V123" s="159" t="s">
        <v>520</v>
      </c>
      <c r="W123" s="161">
        <v>10</v>
      </c>
      <c r="X123" s="159"/>
      <c r="Y123" s="159"/>
      <c r="Z123" s="159"/>
      <c r="AA123" s="159" t="s">
        <v>108</v>
      </c>
      <c r="AB123" s="159" t="s">
        <v>566</v>
      </c>
      <c r="AC123" s="159" t="s">
        <v>511</v>
      </c>
      <c r="AD123" s="159">
        <v>69081</v>
      </c>
      <c r="AE123" s="162">
        <v>0.016277</v>
      </c>
      <c r="AF123" s="162">
        <v>0</v>
      </c>
      <c r="AG123" s="162">
        <f t="shared" si="1"/>
        <v>0.016277</v>
      </c>
    </row>
    <row r="124" spans="1:33" ht="15">
      <c r="A124" s="159" t="s">
        <v>507</v>
      </c>
      <c r="B124" s="160" t="s">
        <v>508</v>
      </c>
      <c r="C124" s="160" t="s">
        <v>509</v>
      </c>
      <c r="D124" s="159" t="s">
        <v>510</v>
      </c>
      <c r="E124" s="159">
        <v>42</v>
      </c>
      <c r="F124" s="159">
        <v>3</v>
      </c>
      <c r="G124" s="159" t="s">
        <v>511</v>
      </c>
      <c r="H124" s="159">
        <v>69081</v>
      </c>
      <c r="I124" s="159" t="s">
        <v>512</v>
      </c>
      <c r="J124" s="159" t="s">
        <v>513</v>
      </c>
      <c r="K124" s="159" t="s">
        <v>514</v>
      </c>
      <c r="L124" s="159" t="s">
        <v>515</v>
      </c>
      <c r="M124" s="159" t="s">
        <v>222</v>
      </c>
      <c r="N124" s="159" t="s">
        <v>591</v>
      </c>
      <c r="O124" s="159">
        <v>588</v>
      </c>
      <c r="P124" s="159">
        <v>2</v>
      </c>
      <c r="Q124" s="159" t="s">
        <v>511</v>
      </c>
      <c r="R124" s="159">
        <v>69002</v>
      </c>
      <c r="S124" s="159" t="s">
        <v>518</v>
      </c>
      <c r="T124" s="160" t="s">
        <v>221</v>
      </c>
      <c r="U124" s="159" t="s">
        <v>519</v>
      </c>
      <c r="V124" s="159" t="s">
        <v>520</v>
      </c>
      <c r="W124" s="161">
        <v>16</v>
      </c>
      <c r="X124" s="159"/>
      <c r="Y124" s="159"/>
      <c r="Z124" s="159"/>
      <c r="AA124" s="159" t="s">
        <v>108</v>
      </c>
      <c r="AB124" s="159" t="s">
        <v>566</v>
      </c>
      <c r="AC124" s="159" t="s">
        <v>511</v>
      </c>
      <c r="AD124" s="159">
        <v>69081</v>
      </c>
      <c r="AE124" s="162">
        <v>0.013926</v>
      </c>
      <c r="AF124" s="162">
        <v>0</v>
      </c>
      <c r="AG124" s="162">
        <f t="shared" si="1"/>
        <v>0.013926</v>
      </c>
    </row>
    <row r="125" spans="1:33" ht="15">
      <c r="A125" s="159" t="s">
        <v>507</v>
      </c>
      <c r="B125" s="160" t="s">
        <v>508</v>
      </c>
      <c r="C125" s="160" t="s">
        <v>509</v>
      </c>
      <c r="D125" s="159" t="s">
        <v>510</v>
      </c>
      <c r="E125" s="159">
        <v>42</v>
      </c>
      <c r="F125" s="159">
        <v>3</v>
      </c>
      <c r="G125" s="159" t="s">
        <v>511</v>
      </c>
      <c r="H125" s="159">
        <v>69081</v>
      </c>
      <c r="I125" s="159" t="s">
        <v>512</v>
      </c>
      <c r="J125" s="159" t="s">
        <v>513</v>
      </c>
      <c r="K125" s="159" t="s">
        <v>514</v>
      </c>
      <c r="L125" s="159" t="s">
        <v>515</v>
      </c>
      <c r="M125" s="159" t="s">
        <v>214</v>
      </c>
      <c r="N125" s="159" t="s">
        <v>617</v>
      </c>
      <c r="O125" s="159">
        <v>1133</v>
      </c>
      <c r="P125" s="159">
        <v>19</v>
      </c>
      <c r="Q125" s="159" t="s">
        <v>511</v>
      </c>
      <c r="R125" s="159">
        <v>69002</v>
      </c>
      <c r="S125" s="159" t="s">
        <v>518</v>
      </c>
      <c r="T125" s="160" t="s">
        <v>213</v>
      </c>
      <c r="U125" s="159" t="s">
        <v>519</v>
      </c>
      <c r="V125" s="159" t="s">
        <v>549</v>
      </c>
      <c r="W125" s="161">
        <v>25</v>
      </c>
      <c r="X125" s="159"/>
      <c r="Y125" s="159"/>
      <c r="Z125" s="159"/>
      <c r="AA125" s="159" t="s">
        <v>108</v>
      </c>
      <c r="AB125" s="159" t="s">
        <v>566</v>
      </c>
      <c r="AC125" s="159" t="s">
        <v>511</v>
      </c>
      <c r="AD125" s="159">
        <v>69081</v>
      </c>
      <c r="AE125" s="162">
        <v>0.070484</v>
      </c>
      <c r="AF125" s="162">
        <v>0</v>
      </c>
      <c r="AG125" s="162">
        <f t="shared" si="1"/>
        <v>0.070484</v>
      </c>
    </row>
    <row r="126" spans="1:33" ht="15">
      <c r="A126" s="159" t="s">
        <v>507</v>
      </c>
      <c r="B126" s="160" t="s">
        <v>508</v>
      </c>
      <c r="C126" s="160" t="s">
        <v>509</v>
      </c>
      <c r="D126" s="159" t="s">
        <v>510</v>
      </c>
      <c r="E126" s="159">
        <v>42</v>
      </c>
      <c r="F126" s="159">
        <v>3</v>
      </c>
      <c r="G126" s="159" t="s">
        <v>511</v>
      </c>
      <c r="H126" s="159">
        <v>69081</v>
      </c>
      <c r="I126" s="159" t="s">
        <v>512</v>
      </c>
      <c r="J126" s="159" t="s">
        <v>513</v>
      </c>
      <c r="K126" s="159" t="s">
        <v>514</v>
      </c>
      <c r="L126" s="159" t="s">
        <v>515</v>
      </c>
      <c r="M126" s="159" t="s">
        <v>182</v>
      </c>
      <c r="N126" s="159" t="s">
        <v>617</v>
      </c>
      <c r="O126" s="159">
        <v>1137</v>
      </c>
      <c r="P126" s="159">
        <v>20</v>
      </c>
      <c r="Q126" s="159" t="s">
        <v>511</v>
      </c>
      <c r="R126" s="159">
        <v>69002</v>
      </c>
      <c r="S126" s="159" t="s">
        <v>518</v>
      </c>
      <c r="T126" s="160" t="s">
        <v>181</v>
      </c>
      <c r="U126" s="159" t="s">
        <v>519</v>
      </c>
      <c r="V126" s="159" t="s">
        <v>549</v>
      </c>
      <c r="W126" s="161">
        <v>25</v>
      </c>
      <c r="X126" s="159"/>
      <c r="Y126" s="159"/>
      <c r="Z126" s="159"/>
      <c r="AA126" s="159" t="s">
        <v>108</v>
      </c>
      <c r="AB126" s="159" t="s">
        <v>566</v>
      </c>
      <c r="AC126" s="159" t="s">
        <v>511</v>
      </c>
      <c r="AD126" s="159">
        <v>69081</v>
      </c>
      <c r="AE126" s="162">
        <v>0.197354</v>
      </c>
      <c r="AF126" s="162">
        <v>0</v>
      </c>
      <c r="AG126" s="162">
        <f t="shared" si="1"/>
        <v>0.197354</v>
      </c>
    </row>
    <row r="127" spans="1:33" ht="15">
      <c r="A127" s="159" t="s">
        <v>507</v>
      </c>
      <c r="B127" s="160" t="s">
        <v>508</v>
      </c>
      <c r="C127" s="160" t="s">
        <v>509</v>
      </c>
      <c r="D127" s="159" t="s">
        <v>510</v>
      </c>
      <c r="E127" s="159">
        <v>42</v>
      </c>
      <c r="F127" s="159">
        <v>3</v>
      </c>
      <c r="G127" s="159" t="s">
        <v>511</v>
      </c>
      <c r="H127" s="159">
        <v>69081</v>
      </c>
      <c r="I127" s="159" t="s">
        <v>512</v>
      </c>
      <c r="J127" s="159" t="s">
        <v>513</v>
      </c>
      <c r="K127" s="159" t="s">
        <v>514</v>
      </c>
      <c r="L127" s="159" t="s">
        <v>515</v>
      </c>
      <c r="M127" s="159" t="s">
        <v>212</v>
      </c>
      <c r="N127" s="159" t="s">
        <v>617</v>
      </c>
      <c r="O127" s="159">
        <v>1111</v>
      </c>
      <c r="P127" s="159">
        <v>21</v>
      </c>
      <c r="Q127" s="159" t="s">
        <v>511</v>
      </c>
      <c r="R127" s="159">
        <v>69002</v>
      </c>
      <c r="S127" s="159" t="s">
        <v>518</v>
      </c>
      <c r="T127" s="160" t="s">
        <v>211</v>
      </c>
      <c r="U127" s="159" t="s">
        <v>519</v>
      </c>
      <c r="V127" s="159" t="s">
        <v>549</v>
      </c>
      <c r="W127" s="161">
        <v>25</v>
      </c>
      <c r="X127" s="159"/>
      <c r="Y127" s="159"/>
      <c r="Z127" s="159"/>
      <c r="AA127" s="159" t="s">
        <v>108</v>
      </c>
      <c r="AB127" s="159" t="s">
        <v>566</v>
      </c>
      <c r="AC127" s="159" t="s">
        <v>511</v>
      </c>
      <c r="AD127" s="159">
        <v>69081</v>
      </c>
      <c r="AE127" s="162">
        <v>0.076122</v>
      </c>
      <c r="AF127" s="162">
        <v>0</v>
      </c>
      <c r="AG127" s="162">
        <f t="shared" si="1"/>
        <v>0.076122</v>
      </c>
    </row>
    <row r="128" spans="1:33" ht="15">
      <c r="A128" s="159" t="s">
        <v>507</v>
      </c>
      <c r="B128" s="160" t="s">
        <v>508</v>
      </c>
      <c r="C128" s="160" t="s">
        <v>509</v>
      </c>
      <c r="D128" s="159" t="s">
        <v>510</v>
      </c>
      <c r="E128" s="159">
        <v>42</v>
      </c>
      <c r="F128" s="159">
        <v>3</v>
      </c>
      <c r="G128" s="159" t="s">
        <v>511</v>
      </c>
      <c r="H128" s="159">
        <v>69081</v>
      </c>
      <c r="I128" s="159" t="s">
        <v>512</v>
      </c>
      <c r="J128" s="159" t="s">
        <v>513</v>
      </c>
      <c r="K128" s="159" t="s">
        <v>514</v>
      </c>
      <c r="L128" s="159" t="s">
        <v>515</v>
      </c>
      <c r="M128" s="159" t="s">
        <v>218</v>
      </c>
      <c r="N128" s="159" t="s">
        <v>597</v>
      </c>
      <c r="O128" s="159">
        <v>1217</v>
      </c>
      <c r="P128" s="159">
        <v>17</v>
      </c>
      <c r="Q128" s="159" t="s">
        <v>511</v>
      </c>
      <c r="R128" s="159">
        <v>69002</v>
      </c>
      <c r="S128" s="159" t="s">
        <v>518</v>
      </c>
      <c r="T128" s="160" t="s">
        <v>217</v>
      </c>
      <c r="U128" s="159" t="s">
        <v>519</v>
      </c>
      <c r="V128" s="159" t="s">
        <v>520</v>
      </c>
      <c r="W128" s="161">
        <v>10</v>
      </c>
      <c r="X128" s="159"/>
      <c r="Y128" s="159"/>
      <c r="Z128" s="159"/>
      <c r="AA128" s="159" t="s">
        <v>108</v>
      </c>
      <c r="AB128" s="159" t="s">
        <v>566</v>
      </c>
      <c r="AC128" s="159" t="s">
        <v>511</v>
      </c>
      <c r="AD128" s="159">
        <v>69081</v>
      </c>
      <c r="AE128" s="162">
        <v>0.023</v>
      </c>
      <c r="AF128" s="162">
        <v>0</v>
      </c>
      <c r="AG128" s="162">
        <f t="shared" si="1"/>
        <v>0.023</v>
      </c>
    </row>
    <row r="129" spans="1:33" ht="15">
      <c r="A129" s="159" t="s">
        <v>507</v>
      </c>
      <c r="B129" s="160" t="s">
        <v>508</v>
      </c>
      <c r="C129" s="160" t="s">
        <v>509</v>
      </c>
      <c r="D129" s="159" t="s">
        <v>510</v>
      </c>
      <c r="E129" s="159">
        <v>42</v>
      </c>
      <c r="F129" s="159">
        <v>3</v>
      </c>
      <c r="G129" s="159" t="s">
        <v>511</v>
      </c>
      <c r="H129" s="159">
        <v>69081</v>
      </c>
      <c r="I129" s="159" t="s">
        <v>512</v>
      </c>
      <c r="J129" s="159" t="s">
        <v>513</v>
      </c>
      <c r="K129" s="159" t="s">
        <v>514</v>
      </c>
      <c r="L129" s="159" t="s">
        <v>515</v>
      </c>
      <c r="M129" s="159" t="s">
        <v>216</v>
      </c>
      <c r="N129" s="159" t="s">
        <v>618</v>
      </c>
      <c r="O129" s="159">
        <v>1010</v>
      </c>
      <c r="P129" s="159">
        <v>27</v>
      </c>
      <c r="Q129" s="159" t="s">
        <v>511</v>
      </c>
      <c r="R129" s="159">
        <v>69002</v>
      </c>
      <c r="S129" s="159" t="s">
        <v>518</v>
      </c>
      <c r="T129" s="160" t="s">
        <v>215</v>
      </c>
      <c r="U129" s="159" t="s">
        <v>519</v>
      </c>
      <c r="V129" s="159" t="s">
        <v>520</v>
      </c>
      <c r="W129" s="161">
        <v>20</v>
      </c>
      <c r="X129" s="159"/>
      <c r="Y129" s="159"/>
      <c r="Z129" s="159"/>
      <c r="AA129" s="159" t="s">
        <v>108</v>
      </c>
      <c r="AB129" s="159" t="s">
        <v>566</v>
      </c>
      <c r="AC129" s="159" t="s">
        <v>511</v>
      </c>
      <c r="AD129" s="159">
        <v>69081</v>
      </c>
      <c r="AE129" s="162">
        <v>0.064281</v>
      </c>
      <c r="AF129" s="162">
        <v>0</v>
      </c>
      <c r="AG129" s="162">
        <f t="shared" si="1"/>
        <v>0.064281</v>
      </c>
    </row>
    <row r="130" spans="1:37" ht="100.8">
      <c r="A130" s="165" t="s">
        <v>507</v>
      </c>
      <c r="B130" s="166" t="s">
        <v>508</v>
      </c>
      <c r="C130" s="166" t="s">
        <v>509</v>
      </c>
      <c r="D130" s="165" t="s">
        <v>510</v>
      </c>
      <c r="E130" s="165">
        <v>42</v>
      </c>
      <c r="F130" s="165">
        <v>3</v>
      </c>
      <c r="G130" s="165" t="s">
        <v>511</v>
      </c>
      <c r="H130" s="165">
        <v>69081</v>
      </c>
      <c r="I130" s="165" t="s">
        <v>512</v>
      </c>
      <c r="J130" s="165" t="s">
        <v>513</v>
      </c>
      <c r="K130" s="165" t="s">
        <v>514</v>
      </c>
      <c r="L130" s="165" t="s">
        <v>515</v>
      </c>
      <c r="M130" s="165" t="s">
        <v>168</v>
      </c>
      <c r="N130" s="165" t="s">
        <v>614</v>
      </c>
      <c r="O130" s="165">
        <v>499</v>
      </c>
      <c r="P130" s="165">
        <v>11</v>
      </c>
      <c r="Q130" s="165" t="s">
        <v>511</v>
      </c>
      <c r="R130" s="165">
        <v>69002</v>
      </c>
      <c r="S130" s="165" t="s">
        <v>518</v>
      </c>
      <c r="T130" s="166" t="s">
        <v>167</v>
      </c>
      <c r="U130" s="165" t="s">
        <v>548</v>
      </c>
      <c r="V130" s="165" t="s">
        <v>549</v>
      </c>
      <c r="W130" s="167">
        <v>25</v>
      </c>
      <c r="X130" s="165"/>
      <c r="Y130" s="165"/>
      <c r="Z130" s="165"/>
      <c r="AA130" s="165" t="s">
        <v>108</v>
      </c>
      <c r="AB130" s="165" t="s">
        <v>566</v>
      </c>
      <c r="AC130" s="165" t="s">
        <v>511</v>
      </c>
      <c r="AD130" s="165">
        <v>69081</v>
      </c>
      <c r="AE130" s="168">
        <v>0.399698</v>
      </c>
      <c r="AF130" s="168">
        <v>0</v>
      </c>
      <c r="AG130" s="168">
        <f t="shared" si="1"/>
        <v>0.399698</v>
      </c>
      <c r="AI130" t="s">
        <v>619</v>
      </c>
      <c r="AK130" s="169" t="s">
        <v>620</v>
      </c>
    </row>
    <row r="131" spans="1:33" ht="15">
      <c r="A131" s="159" t="s">
        <v>507</v>
      </c>
      <c r="B131" s="160" t="s">
        <v>508</v>
      </c>
      <c r="C131" s="160" t="s">
        <v>509</v>
      </c>
      <c r="D131" s="159" t="s">
        <v>510</v>
      </c>
      <c r="E131" s="159">
        <v>42</v>
      </c>
      <c r="F131" s="159">
        <v>3</v>
      </c>
      <c r="G131" s="159" t="s">
        <v>511</v>
      </c>
      <c r="H131" s="159">
        <v>69081</v>
      </c>
      <c r="I131" s="159" t="s">
        <v>512</v>
      </c>
      <c r="J131" s="159" t="s">
        <v>513</v>
      </c>
      <c r="K131" s="159" t="s">
        <v>514</v>
      </c>
      <c r="L131" s="159" t="s">
        <v>515</v>
      </c>
      <c r="M131" s="159" t="s">
        <v>125</v>
      </c>
      <c r="N131" s="159" t="s">
        <v>621</v>
      </c>
      <c r="O131" s="159">
        <v>57</v>
      </c>
      <c r="P131" s="159">
        <v>39</v>
      </c>
      <c r="Q131" s="159" t="s">
        <v>552</v>
      </c>
      <c r="R131" s="159">
        <v>69141</v>
      </c>
      <c r="S131" s="159" t="s">
        <v>518</v>
      </c>
      <c r="T131" s="160" t="s">
        <v>124</v>
      </c>
      <c r="U131" s="159" t="s">
        <v>548</v>
      </c>
      <c r="V131" s="159" t="s">
        <v>549</v>
      </c>
      <c r="W131" s="161">
        <v>28</v>
      </c>
      <c r="X131" s="159"/>
      <c r="Y131" s="159"/>
      <c r="Z131" s="159"/>
      <c r="AA131" s="159" t="s">
        <v>108</v>
      </c>
      <c r="AB131" s="159" t="s">
        <v>566</v>
      </c>
      <c r="AC131" s="159" t="s">
        <v>511</v>
      </c>
      <c r="AD131" s="159">
        <v>69081</v>
      </c>
      <c r="AE131" s="162">
        <v>6.5</v>
      </c>
      <c r="AF131" s="162">
        <v>0</v>
      </c>
      <c r="AG131" s="162">
        <f t="shared" si="1"/>
        <v>6.5</v>
      </c>
    </row>
    <row r="132" spans="1:33" ht="15">
      <c r="A132" s="159" t="s">
        <v>507</v>
      </c>
      <c r="B132" s="160" t="s">
        <v>508</v>
      </c>
      <c r="C132" s="160" t="s">
        <v>509</v>
      </c>
      <c r="D132" s="159" t="s">
        <v>510</v>
      </c>
      <c r="E132" s="159">
        <v>42</v>
      </c>
      <c r="F132" s="159">
        <v>3</v>
      </c>
      <c r="G132" s="159" t="s">
        <v>511</v>
      </c>
      <c r="H132" s="159">
        <v>69081</v>
      </c>
      <c r="I132" s="159" t="s">
        <v>512</v>
      </c>
      <c r="J132" s="159" t="s">
        <v>513</v>
      </c>
      <c r="K132" s="159" t="s">
        <v>514</v>
      </c>
      <c r="L132" s="159" t="s">
        <v>515</v>
      </c>
      <c r="M132" s="159" t="s">
        <v>180</v>
      </c>
      <c r="N132" s="159" t="s">
        <v>622</v>
      </c>
      <c r="O132" s="159">
        <v>3047</v>
      </c>
      <c r="P132" s="159" t="s">
        <v>623</v>
      </c>
      <c r="Q132" s="159" t="s">
        <v>511</v>
      </c>
      <c r="R132" s="159">
        <v>69002</v>
      </c>
      <c r="S132" s="159" t="s">
        <v>518</v>
      </c>
      <c r="T132" s="160" t="s">
        <v>179</v>
      </c>
      <c r="U132" s="159" t="s">
        <v>548</v>
      </c>
      <c r="V132" s="159" t="s">
        <v>549</v>
      </c>
      <c r="W132" s="161">
        <v>50</v>
      </c>
      <c r="X132" s="159"/>
      <c r="Y132" s="159"/>
      <c r="Z132" s="159"/>
      <c r="AA132" s="159" t="s">
        <v>108</v>
      </c>
      <c r="AB132" s="159" t="s">
        <v>566</v>
      </c>
      <c r="AC132" s="159" t="s">
        <v>511</v>
      </c>
      <c r="AD132" s="159">
        <v>69081</v>
      </c>
      <c r="AE132" s="162">
        <v>0.216492</v>
      </c>
      <c r="AF132" s="162">
        <v>0</v>
      </c>
      <c r="AG132" s="162">
        <f t="shared" si="1"/>
        <v>0.216492</v>
      </c>
    </row>
    <row r="133" spans="1:33" ht="15">
      <c r="A133" s="159" t="s">
        <v>507</v>
      </c>
      <c r="B133" s="160" t="s">
        <v>508</v>
      </c>
      <c r="C133" s="160" t="s">
        <v>509</v>
      </c>
      <c r="D133" s="159" t="s">
        <v>510</v>
      </c>
      <c r="E133" s="159">
        <v>42</v>
      </c>
      <c r="F133" s="159">
        <v>3</v>
      </c>
      <c r="G133" s="159" t="s">
        <v>511</v>
      </c>
      <c r="H133" s="159">
        <v>69081</v>
      </c>
      <c r="I133" s="159" t="s">
        <v>512</v>
      </c>
      <c r="J133" s="159" t="s">
        <v>513</v>
      </c>
      <c r="K133" s="159" t="s">
        <v>514</v>
      </c>
      <c r="L133" s="159" t="s">
        <v>515</v>
      </c>
      <c r="M133" s="159" t="s">
        <v>226</v>
      </c>
      <c r="N133" s="159" t="s">
        <v>624</v>
      </c>
      <c r="O133" s="159">
        <v>1371</v>
      </c>
      <c r="P133" s="159">
        <v>2</v>
      </c>
      <c r="Q133" s="159" t="s">
        <v>511</v>
      </c>
      <c r="R133" s="159">
        <v>69002</v>
      </c>
      <c r="S133" s="159" t="s">
        <v>518</v>
      </c>
      <c r="T133" s="160" t="s">
        <v>225</v>
      </c>
      <c r="U133" s="159" t="s">
        <v>519</v>
      </c>
      <c r="V133" s="159" t="s">
        <v>520</v>
      </c>
      <c r="W133" s="161">
        <v>16</v>
      </c>
      <c r="X133" s="159"/>
      <c r="Y133" s="159"/>
      <c r="Z133" s="159"/>
      <c r="AA133" s="159" t="s">
        <v>108</v>
      </c>
      <c r="AB133" s="159" t="s">
        <v>566</v>
      </c>
      <c r="AC133" s="159" t="s">
        <v>511</v>
      </c>
      <c r="AD133" s="159">
        <v>69081</v>
      </c>
      <c r="AE133" s="162">
        <v>0.003864</v>
      </c>
      <c r="AF133" s="162">
        <v>0</v>
      </c>
      <c r="AG133" s="162">
        <f t="shared" si="1"/>
        <v>0.003864</v>
      </c>
    </row>
    <row r="134" spans="1:33" ht="15">
      <c r="A134" s="159" t="s">
        <v>507</v>
      </c>
      <c r="B134" s="160" t="s">
        <v>508</v>
      </c>
      <c r="C134" s="160" t="s">
        <v>509</v>
      </c>
      <c r="D134" s="159" t="s">
        <v>510</v>
      </c>
      <c r="E134" s="159">
        <v>42</v>
      </c>
      <c r="F134" s="159">
        <v>3</v>
      </c>
      <c r="G134" s="159" t="s">
        <v>511</v>
      </c>
      <c r="H134" s="159">
        <v>69081</v>
      </c>
      <c r="I134" s="159" t="s">
        <v>512</v>
      </c>
      <c r="J134" s="159" t="s">
        <v>513</v>
      </c>
      <c r="K134" s="159" t="s">
        <v>514</v>
      </c>
      <c r="L134" s="159" t="s">
        <v>515</v>
      </c>
      <c r="M134" s="159" t="s">
        <v>204</v>
      </c>
      <c r="N134" s="159" t="s">
        <v>537</v>
      </c>
      <c r="O134" s="159">
        <v>311</v>
      </c>
      <c r="P134" s="159">
        <v>20</v>
      </c>
      <c r="Q134" s="159" t="s">
        <v>511</v>
      </c>
      <c r="R134" s="159">
        <v>69002</v>
      </c>
      <c r="S134" s="159" t="s">
        <v>518</v>
      </c>
      <c r="T134" s="160" t="s">
        <v>203</v>
      </c>
      <c r="U134" s="159" t="s">
        <v>519</v>
      </c>
      <c r="V134" s="159" t="s">
        <v>549</v>
      </c>
      <c r="W134" s="161">
        <v>16</v>
      </c>
      <c r="X134" s="159"/>
      <c r="Y134" s="159"/>
      <c r="Z134" s="159"/>
      <c r="AA134" s="159" t="s">
        <v>108</v>
      </c>
      <c r="AB134" s="159" t="s">
        <v>566</v>
      </c>
      <c r="AC134" s="159" t="s">
        <v>511</v>
      </c>
      <c r="AD134" s="159">
        <v>69081</v>
      </c>
      <c r="AE134" s="162">
        <v>0.124716</v>
      </c>
      <c r="AF134" s="162">
        <v>0</v>
      </c>
      <c r="AG134" s="162">
        <f aca="true" t="shared" si="2" ref="AG134:AG145">AF134+AE134</f>
        <v>0.124716</v>
      </c>
    </row>
    <row r="135" spans="1:33" ht="15">
      <c r="A135" s="159" t="s">
        <v>507</v>
      </c>
      <c r="B135" s="160" t="s">
        <v>508</v>
      </c>
      <c r="C135" s="160" t="s">
        <v>509</v>
      </c>
      <c r="D135" s="159" t="s">
        <v>510</v>
      </c>
      <c r="E135" s="159">
        <v>42</v>
      </c>
      <c r="F135" s="159">
        <v>3</v>
      </c>
      <c r="G135" s="159" t="s">
        <v>511</v>
      </c>
      <c r="H135" s="159">
        <v>69081</v>
      </c>
      <c r="I135" s="159" t="s">
        <v>512</v>
      </c>
      <c r="J135" s="159" t="s">
        <v>513</v>
      </c>
      <c r="K135" s="159" t="s">
        <v>514</v>
      </c>
      <c r="L135" s="159" t="s">
        <v>515</v>
      </c>
      <c r="M135" s="159" t="s">
        <v>170</v>
      </c>
      <c r="N135" s="159" t="s">
        <v>603</v>
      </c>
      <c r="O135" s="159" t="s">
        <v>601</v>
      </c>
      <c r="P135" s="159" t="s">
        <v>601</v>
      </c>
      <c r="Q135" s="159" t="s">
        <v>511</v>
      </c>
      <c r="R135" s="159">
        <v>69002</v>
      </c>
      <c r="S135" s="159" t="s">
        <v>518</v>
      </c>
      <c r="T135" s="160" t="s">
        <v>169</v>
      </c>
      <c r="U135" s="159" t="s">
        <v>579</v>
      </c>
      <c r="V135" s="159" t="s">
        <v>549</v>
      </c>
      <c r="W135" s="161">
        <v>63</v>
      </c>
      <c r="X135" s="159"/>
      <c r="Y135" s="159"/>
      <c r="Z135" s="159"/>
      <c r="AA135" s="159" t="s">
        <v>108</v>
      </c>
      <c r="AB135" s="159" t="s">
        <v>566</v>
      </c>
      <c r="AC135" s="159" t="s">
        <v>511</v>
      </c>
      <c r="AD135" s="159">
        <v>69081</v>
      </c>
      <c r="AE135" s="162">
        <v>0.257036</v>
      </c>
      <c r="AF135" s="162">
        <v>0.101913</v>
      </c>
      <c r="AG135" s="162">
        <f t="shared" si="2"/>
        <v>0.35894899999999996</v>
      </c>
    </row>
    <row r="136" spans="1:37" ht="86.4">
      <c r="A136" s="165" t="s">
        <v>507</v>
      </c>
      <c r="B136" s="166" t="s">
        <v>508</v>
      </c>
      <c r="C136" s="166" t="s">
        <v>509</v>
      </c>
      <c r="D136" s="165" t="s">
        <v>510</v>
      </c>
      <c r="E136" s="165">
        <v>42</v>
      </c>
      <c r="F136" s="165">
        <v>3</v>
      </c>
      <c r="G136" s="165" t="s">
        <v>511</v>
      </c>
      <c r="H136" s="165">
        <v>69081</v>
      </c>
      <c r="I136" s="165" t="s">
        <v>512</v>
      </c>
      <c r="J136" s="165" t="s">
        <v>513</v>
      </c>
      <c r="K136" s="165" t="s">
        <v>514</v>
      </c>
      <c r="L136" s="165" t="s">
        <v>515</v>
      </c>
      <c r="M136" s="165" t="s">
        <v>625</v>
      </c>
      <c r="N136" s="165" t="s">
        <v>537</v>
      </c>
      <c r="O136" s="165" t="s">
        <v>626</v>
      </c>
      <c r="P136" s="165"/>
      <c r="Q136" s="165" t="s">
        <v>511</v>
      </c>
      <c r="R136" s="165">
        <v>69002</v>
      </c>
      <c r="S136" s="165" t="s">
        <v>518</v>
      </c>
      <c r="T136" s="166" t="s">
        <v>157</v>
      </c>
      <c r="U136" s="165" t="s">
        <v>548</v>
      </c>
      <c r="V136" s="165" t="s">
        <v>549</v>
      </c>
      <c r="W136" s="167">
        <v>32</v>
      </c>
      <c r="X136" s="165"/>
      <c r="Y136" s="165"/>
      <c r="Z136" s="165"/>
      <c r="AA136" s="165" t="s">
        <v>108</v>
      </c>
      <c r="AB136" s="165" t="s">
        <v>566</v>
      </c>
      <c r="AC136" s="165" t="s">
        <v>511</v>
      </c>
      <c r="AD136" s="165">
        <v>69081</v>
      </c>
      <c r="AE136" s="168">
        <v>1.165252</v>
      </c>
      <c r="AF136" s="168">
        <v>0</v>
      </c>
      <c r="AG136" s="168">
        <f t="shared" si="2"/>
        <v>1.165252</v>
      </c>
      <c r="AI136" t="s">
        <v>606</v>
      </c>
      <c r="AK136" s="169" t="s">
        <v>627</v>
      </c>
    </row>
    <row r="137" spans="1:37" ht="43.2">
      <c r="A137" s="165" t="s">
        <v>507</v>
      </c>
      <c r="B137" s="166" t="s">
        <v>508</v>
      </c>
      <c r="C137" s="166" t="s">
        <v>509</v>
      </c>
      <c r="D137" s="165" t="s">
        <v>510</v>
      </c>
      <c r="E137" s="165">
        <v>42</v>
      </c>
      <c r="F137" s="165">
        <v>3</v>
      </c>
      <c r="G137" s="165" t="s">
        <v>511</v>
      </c>
      <c r="H137" s="165">
        <v>69081</v>
      </c>
      <c r="I137" s="165" t="s">
        <v>512</v>
      </c>
      <c r="J137" s="165" t="s">
        <v>513</v>
      </c>
      <c r="K137" s="165" t="s">
        <v>514</v>
      </c>
      <c r="L137" s="165" t="s">
        <v>515</v>
      </c>
      <c r="M137" s="165" t="s">
        <v>628</v>
      </c>
      <c r="N137" s="165" t="s">
        <v>629</v>
      </c>
      <c r="O137" s="165">
        <v>3215</v>
      </c>
      <c r="P137" s="165">
        <v>24</v>
      </c>
      <c r="Q137" s="165" t="s">
        <v>511</v>
      </c>
      <c r="R137" s="165">
        <v>69002</v>
      </c>
      <c r="S137" s="165" t="s">
        <v>518</v>
      </c>
      <c r="T137" s="166" t="s">
        <v>183</v>
      </c>
      <c r="U137" s="165" t="s">
        <v>519</v>
      </c>
      <c r="V137" s="165" t="s">
        <v>520</v>
      </c>
      <c r="W137" s="167">
        <v>16</v>
      </c>
      <c r="X137" s="165"/>
      <c r="Y137" s="165"/>
      <c r="Z137" s="165"/>
      <c r="AA137" s="165" t="s">
        <v>108</v>
      </c>
      <c r="AB137" s="165" t="s">
        <v>566</v>
      </c>
      <c r="AC137" s="165" t="s">
        <v>511</v>
      </c>
      <c r="AD137" s="165">
        <v>69081</v>
      </c>
      <c r="AE137" s="168">
        <v>0.187998</v>
      </c>
      <c r="AF137" s="168">
        <v>0</v>
      </c>
      <c r="AG137" s="168">
        <f t="shared" si="2"/>
        <v>0.187998</v>
      </c>
      <c r="AI137" t="s">
        <v>630</v>
      </c>
      <c r="AK137" s="169" t="s">
        <v>631</v>
      </c>
    </row>
    <row r="138" spans="1:37" ht="43.2">
      <c r="A138" s="165" t="s">
        <v>507</v>
      </c>
      <c r="B138" s="166" t="s">
        <v>508</v>
      </c>
      <c r="C138" s="166" t="s">
        <v>509</v>
      </c>
      <c r="D138" s="165" t="s">
        <v>510</v>
      </c>
      <c r="E138" s="165">
        <v>42</v>
      </c>
      <c r="F138" s="165">
        <v>3</v>
      </c>
      <c r="G138" s="165" t="s">
        <v>511</v>
      </c>
      <c r="H138" s="165">
        <v>69081</v>
      </c>
      <c r="I138" s="165" t="s">
        <v>512</v>
      </c>
      <c r="J138" s="165" t="s">
        <v>513</v>
      </c>
      <c r="K138" s="165" t="s">
        <v>514</v>
      </c>
      <c r="L138" s="165" t="s">
        <v>515</v>
      </c>
      <c r="M138" s="165" t="s">
        <v>186</v>
      </c>
      <c r="N138" s="165" t="s">
        <v>629</v>
      </c>
      <c r="O138" s="165">
        <v>3217</v>
      </c>
      <c r="P138" s="165">
        <v>25</v>
      </c>
      <c r="Q138" s="165" t="s">
        <v>511</v>
      </c>
      <c r="R138" s="165">
        <v>69002</v>
      </c>
      <c r="S138" s="165" t="s">
        <v>518</v>
      </c>
      <c r="T138" s="166" t="s">
        <v>185</v>
      </c>
      <c r="U138" s="165" t="s">
        <v>519</v>
      </c>
      <c r="V138" s="165" t="s">
        <v>520</v>
      </c>
      <c r="W138" s="167">
        <v>16</v>
      </c>
      <c r="X138" s="165"/>
      <c r="Y138" s="165"/>
      <c r="Z138" s="165"/>
      <c r="AA138" s="165" t="s">
        <v>108</v>
      </c>
      <c r="AB138" s="165" t="s">
        <v>566</v>
      </c>
      <c r="AC138" s="165" t="s">
        <v>511</v>
      </c>
      <c r="AD138" s="165">
        <v>69081</v>
      </c>
      <c r="AE138" s="168">
        <v>0.179</v>
      </c>
      <c r="AF138" s="168">
        <v>0</v>
      </c>
      <c r="AG138" s="168">
        <f t="shared" si="2"/>
        <v>0.179</v>
      </c>
      <c r="AI138" t="s">
        <v>630</v>
      </c>
      <c r="AK138" s="169" t="s">
        <v>631</v>
      </c>
    </row>
    <row r="139" spans="1:37" ht="43.2">
      <c r="A139" s="165" t="s">
        <v>507</v>
      </c>
      <c r="B139" s="166" t="s">
        <v>508</v>
      </c>
      <c r="C139" s="166" t="s">
        <v>509</v>
      </c>
      <c r="D139" s="165" t="s">
        <v>510</v>
      </c>
      <c r="E139" s="165">
        <v>42</v>
      </c>
      <c r="F139" s="165">
        <v>3</v>
      </c>
      <c r="G139" s="165" t="s">
        <v>511</v>
      </c>
      <c r="H139" s="165">
        <v>69081</v>
      </c>
      <c r="I139" s="165" t="s">
        <v>512</v>
      </c>
      <c r="J139" s="165" t="s">
        <v>513</v>
      </c>
      <c r="K139" s="165" t="s">
        <v>514</v>
      </c>
      <c r="L139" s="165" t="s">
        <v>515</v>
      </c>
      <c r="M139" s="165" t="s">
        <v>139</v>
      </c>
      <c r="N139" s="165" t="s">
        <v>629</v>
      </c>
      <c r="O139" s="165">
        <v>3218</v>
      </c>
      <c r="P139" s="165">
        <v>26</v>
      </c>
      <c r="Q139" s="165" t="s">
        <v>511</v>
      </c>
      <c r="R139" s="165">
        <v>69002</v>
      </c>
      <c r="S139" s="165" t="s">
        <v>518</v>
      </c>
      <c r="T139" s="166" t="s">
        <v>138</v>
      </c>
      <c r="U139" s="165" t="s">
        <v>548</v>
      </c>
      <c r="V139" s="165" t="s">
        <v>549</v>
      </c>
      <c r="W139" s="167">
        <v>40</v>
      </c>
      <c r="X139" s="165"/>
      <c r="Y139" s="165"/>
      <c r="Z139" s="165"/>
      <c r="AA139" s="165" t="s">
        <v>108</v>
      </c>
      <c r="AB139" s="165" t="s">
        <v>566</v>
      </c>
      <c r="AC139" s="165" t="s">
        <v>511</v>
      </c>
      <c r="AD139" s="165">
        <v>69081</v>
      </c>
      <c r="AE139" s="168">
        <v>3.728988</v>
      </c>
      <c r="AF139" s="168">
        <v>0</v>
      </c>
      <c r="AG139" s="168">
        <f t="shared" si="2"/>
        <v>3.728988</v>
      </c>
      <c r="AI139" t="s">
        <v>630</v>
      </c>
      <c r="AK139" s="169" t="s">
        <v>631</v>
      </c>
    </row>
    <row r="140" spans="1:37" ht="43.2">
      <c r="A140" s="165" t="s">
        <v>507</v>
      </c>
      <c r="B140" s="166" t="s">
        <v>508</v>
      </c>
      <c r="C140" s="166" t="s">
        <v>509</v>
      </c>
      <c r="D140" s="165" t="s">
        <v>510</v>
      </c>
      <c r="E140" s="165">
        <v>42</v>
      </c>
      <c r="F140" s="165">
        <v>3</v>
      </c>
      <c r="G140" s="165" t="s">
        <v>511</v>
      </c>
      <c r="H140" s="165">
        <v>69081</v>
      </c>
      <c r="I140" s="165" t="s">
        <v>512</v>
      </c>
      <c r="J140" s="165" t="s">
        <v>513</v>
      </c>
      <c r="K140" s="165" t="s">
        <v>514</v>
      </c>
      <c r="L140" s="165" t="s">
        <v>515</v>
      </c>
      <c r="M140" s="165" t="s">
        <v>141</v>
      </c>
      <c r="N140" s="165" t="s">
        <v>629</v>
      </c>
      <c r="O140" s="165">
        <v>3219</v>
      </c>
      <c r="P140" s="165">
        <v>27</v>
      </c>
      <c r="Q140" s="165" t="s">
        <v>511</v>
      </c>
      <c r="R140" s="165">
        <v>69002</v>
      </c>
      <c r="S140" s="165" t="s">
        <v>518</v>
      </c>
      <c r="T140" s="166" t="s">
        <v>140</v>
      </c>
      <c r="U140" s="165" t="s">
        <v>548</v>
      </c>
      <c r="V140" s="165" t="s">
        <v>549</v>
      </c>
      <c r="W140" s="167">
        <v>40</v>
      </c>
      <c r="X140" s="165"/>
      <c r="Y140" s="165"/>
      <c r="Z140" s="165"/>
      <c r="AA140" s="165" t="s">
        <v>108</v>
      </c>
      <c r="AB140" s="165" t="s">
        <v>566</v>
      </c>
      <c r="AC140" s="165" t="s">
        <v>511</v>
      </c>
      <c r="AD140" s="165">
        <v>69081</v>
      </c>
      <c r="AE140" s="168">
        <v>3.698989</v>
      </c>
      <c r="AF140" s="168">
        <v>0</v>
      </c>
      <c r="AG140" s="168">
        <f t="shared" si="2"/>
        <v>3.698989</v>
      </c>
      <c r="AI140" t="s">
        <v>630</v>
      </c>
      <c r="AK140" s="169" t="s">
        <v>631</v>
      </c>
    </row>
    <row r="141" spans="1:33" ht="15">
      <c r="A141" s="159" t="s">
        <v>507</v>
      </c>
      <c r="B141" s="160" t="s">
        <v>508</v>
      </c>
      <c r="C141" s="160" t="s">
        <v>509</v>
      </c>
      <c r="D141" s="159" t="s">
        <v>510</v>
      </c>
      <c r="E141" s="159">
        <v>42</v>
      </c>
      <c r="F141" s="159">
        <v>3</v>
      </c>
      <c r="G141" s="159" t="s">
        <v>511</v>
      </c>
      <c r="H141" s="159">
        <v>69081</v>
      </c>
      <c r="I141" s="159" t="s">
        <v>512</v>
      </c>
      <c r="J141" s="159" t="s">
        <v>513</v>
      </c>
      <c r="K141" s="159" t="s">
        <v>514</v>
      </c>
      <c r="L141" s="159" t="s">
        <v>515</v>
      </c>
      <c r="M141" s="159" t="s">
        <v>166</v>
      </c>
      <c r="N141" s="159" t="s">
        <v>166</v>
      </c>
      <c r="O141" s="159"/>
      <c r="P141" s="159"/>
      <c r="Q141" s="159" t="s">
        <v>511</v>
      </c>
      <c r="R141" s="159">
        <v>69002</v>
      </c>
      <c r="S141" s="159" t="s">
        <v>518</v>
      </c>
      <c r="T141" s="160" t="s">
        <v>165</v>
      </c>
      <c r="U141" s="159" t="s">
        <v>548</v>
      </c>
      <c r="V141" s="159" t="s">
        <v>549</v>
      </c>
      <c r="W141" s="161">
        <v>200</v>
      </c>
      <c r="X141" s="159"/>
      <c r="Y141" s="159"/>
      <c r="Z141" s="159"/>
      <c r="AA141" s="159" t="s">
        <v>108</v>
      </c>
      <c r="AB141" s="159" t="s">
        <v>566</v>
      </c>
      <c r="AC141" s="159" t="s">
        <v>511</v>
      </c>
      <c r="AD141" s="159">
        <v>69081</v>
      </c>
      <c r="AE141" s="162">
        <v>0.596</v>
      </c>
      <c r="AF141" s="162">
        <v>0</v>
      </c>
      <c r="AG141" s="162">
        <f t="shared" si="2"/>
        <v>0.596</v>
      </c>
    </row>
    <row r="142" spans="1:33" ht="15">
      <c r="A142" s="159" t="s">
        <v>507</v>
      </c>
      <c r="B142" s="160" t="s">
        <v>508</v>
      </c>
      <c r="C142" s="160" t="s">
        <v>509</v>
      </c>
      <c r="D142" s="159" t="s">
        <v>510</v>
      </c>
      <c r="E142" s="159">
        <v>42</v>
      </c>
      <c r="F142" s="159">
        <v>3</v>
      </c>
      <c r="G142" s="159" t="s">
        <v>511</v>
      </c>
      <c r="H142" s="159">
        <v>69081</v>
      </c>
      <c r="I142" s="159" t="s">
        <v>512</v>
      </c>
      <c r="J142" s="159" t="s">
        <v>513</v>
      </c>
      <c r="K142" s="159" t="s">
        <v>514</v>
      </c>
      <c r="L142" s="159" t="s">
        <v>515</v>
      </c>
      <c r="M142" s="159" t="s">
        <v>152</v>
      </c>
      <c r="N142" s="159" t="s">
        <v>632</v>
      </c>
      <c r="O142" s="159">
        <v>5692</v>
      </c>
      <c r="P142" s="159"/>
      <c r="Q142" s="159" t="s">
        <v>511</v>
      </c>
      <c r="R142" s="159">
        <v>69002</v>
      </c>
      <c r="S142" s="159" t="s">
        <v>518</v>
      </c>
      <c r="T142" s="160" t="s">
        <v>151</v>
      </c>
      <c r="U142" s="159" t="s">
        <v>633</v>
      </c>
      <c r="V142" s="159" t="s">
        <v>549</v>
      </c>
      <c r="W142" s="161">
        <v>16</v>
      </c>
      <c r="X142" s="159"/>
      <c r="Y142" s="159"/>
      <c r="Z142" s="159"/>
      <c r="AA142" s="159" t="s">
        <v>108</v>
      </c>
      <c r="AB142" s="159" t="s">
        <v>566</v>
      </c>
      <c r="AC142" s="159" t="s">
        <v>511</v>
      </c>
      <c r="AD142" s="159">
        <v>69081</v>
      </c>
      <c r="AE142" s="162">
        <v>1.729605</v>
      </c>
      <c r="AF142" s="162">
        <v>0</v>
      </c>
      <c r="AG142" s="162">
        <f t="shared" si="2"/>
        <v>1.729605</v>
      </c>
    </row>
    <row r="143" spans="1:37" ht="57.6">
      <c r="A143" s="165" t="s">
        <v>507</v>
      </c>
      <c r="B143" s="166" t="s">
        <v>508</v>
      </c>
      <c r="C143" s="166" t="s">
        <v>509</v>
      </c>
      <c r="D143" s="165" t="s">
        <v>510</v>
      </c>
      <c r="E143" s="165">
        <v>42</v>
      </c>
      <c r="F143" s="165">
        <v>3</v>
      </c>
      <c r="G143" s="165" t="s">
        <v>511</v>
      </c>
      <c r="H143" s="165">
        <v>69081</v>
      </c>
      <c r="I143" s="165" t="s">
        <v>512</v>
      </c>
      <c r="J143" s="165" t="s">
        <v>513</v>
      </c>
      <c r="K143" s="165" t="s">
        <v>514</v>
      </c>
      <c r="L143" s="165" t="s">
        <v>515</v>
      </c>
      <c r="M143" s="165" t="s">
        <v>634</v>
      </c>
      <c r="N143" s="165" t="s">
        <v>635</v>
      </c>
      <c r="O143" s="165">
        <v>2085</v>
      </c>
      <c r="P143" s="165">
        <v>1</v>
      </c>
      <c r="Q143" s="165" t="s">
        <v>511</v>
      </c>
      <c r="R143" s="165">
        <v>69002</v>
      </c>
      <c r="S143" s="165" t="s">
        <v>518</v>
      </c>
      <c r="T143" s="166" t="s">
        <v>636</v>
      </c>
      <c r="U143" s="165" t="s">
        <v>579</v>
      </c>
      <c r="V143" s="165" t="s">
        <v>549</v>
      </c>
      <c r="W143" s="167">
        <v>63</v>
      </c>
      <c r="X143" s="165"/>
      <c r="Y143" s="165"/>
      <c r="Z143" s="165"/>
      <c r="AA143" s="165" t="s">
        <v>108</v>
      </c>
      <c r="AB143" s="165" t="s">
        <v>566</v>
      </c>
      <c r="AC143" s="165" t="s">
        <v>511</v>
      </c>
      <c r="AD143" s="165">
        <v>69081</v>
      </c>
      <c r="AE143" s="168">
        <v>7.322522</v>
      </c>
      <c r="AF143" s="168">
        <v>1.883058</v>
      </c>
      <c r="AG143" s="168">
        <f t="shared" si="2"/>
        <v>9.20558</v>
      </c>
      <c r="AI143" t="s">
        <v>637</v>
      </c>
      <c r="AK143" s="169" t="s">
        <v>638</v>
      </c>
    </row>
    <row r="144" spans="1:37" ht="57.6">
      <c r="A144" s="165" t="s">
        <v>507</v>
      </c>
      <c r="B144" s="166" t="s">
        <v>508</v>
      </c>
      <c r="C144" s="166" t="s">
        <v>509</v>
      </c>
      <c r="D144" s="165" t="s">
        <v>510</v>
      </c>
      <c r="E144" s="165">
        <v>42</v>
      </c>
      <c r="F144" s="165">
        <v>3</v>
      </c>
      <c r="G144" s="165" t="s">
        <v>511</v>
      </c>
      <c r="H144" s="165">
        <v>69081</v>
      </c>
      <c r="I144" s="165" t="s">
        <v>512</v>
      </c>
      <c r="J144" s="165" t="s">
        <v>513</v>
      </c>
      <c r="K144" s="165" t="s">
        <v>514</v>
      </c>
      <c r="L144" s="165" t="s">
        <v>515</v>
      </c>
      <c r="M144" s="165" t="s">
        <v>634</v>
      </c>
      <c r="N144" s="165" t="s">
        <v>635</v>
      </c>
      <c r="O144" s="165">
        <v>2085</v>
      </c>
      <c r="P144" s="165">
        <v>1</v>
      </c>
      <c r="Q144" s="165" t="s">
        <v>511</v>
      </c>
      <c r="R144" s="165">
        <v>69002</v>
      </c>
      <c r="S144" s="165" t="s">
        <v>518</v>
      </c>
      <c r="T144" s="166" t="s">
        <v>639</v>
      </c>
      <c r="U144" s="165" t="s">
        <v>579</v>
      </c>
      <c r="V144" s="165" t="s">
        <v>549</v>
      </c>
      <c r="W144" s="167">
        <v>40</v>
      </c>
      <c r="X144" s="165"/>
      <c r="Y144" s="165"/>
      <c r="Z144" s="165"/>
      <c r="AA144" s="165" t="s">
        <v>108</v>
      </c>
      <c r="AB144" s="165" t="s">
        <v>566</v>
      </c>
      <c r="AC144" s="165" t="s">
        <v>511</v>
      </c>
      <c r="AD144" s="165">
        <v>69081</v>
      </c>
      <c r="AE144" s="168">
        <v>7.256029</v>
      </c>
      <c r="AF144" s="168">
        <v>1.615529</v>
      </c>
      <c r="AG144" s="168">
        <f t="shared" si="2"/>
        <v>8.871558</v>
      </c>
      <c r="AI144" t="s">
        <v>637</v>
      </c>
      <c r="AK144" s="169" t="s">
        <v>638</v>
      </c>
    </row>
    <row r="145" spans="1:37" ht="57.6">
      <c r="A145" s="165" t="s">
        <v>507</v>
      </c>
      <c r="B145" s="166" t="s">
        <v>508</v>
      </c>
      <c r="C145" s="166" t="s">
        <v>509</v>
      </c>
      <c r="D145" s="165" t="s">
        <v>510</v>
      </c>
      <c r="E145" s="165">
        <v>42</v>
      </c>
      <c r="F145" s="165">
        <v>3</v>
      </c>
      <c r="G145" s="165" t="s">
        <v>511</v>
      </c>
      <c r="H145" s="165">
        <v>69081</v>
      </c>
      <c r="I145" s="165" t="s">
        <v>512</v>
      </c>
      <c r="J145" s="165" t="s">
        <v>513</v>
      </c>
      <c r="K145" s="165" t="s">
        <v>514</v>
      </c>
      <c r="L145" s="165" t="s">
        <v>515</v>
      </c>
      <c r="M145" s="165" t="s">
        <v>634</v>
      </c>
      <c r="N145" s="165" t="s">
        <v>635</v>
      </c>
      <c r="O145" s="165">
        <v>2085</v>
      </c>
      <c r="P145" s="165">
        <v>1</v>
      </c>
      <c r="Q145" s="165" t="s">
        <v>511</v>
      </c>
      <c r="R145" s="165">
        <v>69002</v>
      </c>
      <c r="S145" s="165" t="s">
        <v>518</v>
      </c>
      <c r="T145" s="166" t="s">
        <v>640</v>
      </c>
      <c r="U145" s="165" t="s">
        <v>579</v>
      </c>
      <c r="V145" s="165" t="s">
        <v>549</v>
      </c>
      <c r="W145" s="167">
        <v>20</v>
      </c>
      <c r="X145" s="165"/>
      <c r="Y145" s="165"/>
      <c r="Z145" s="165"/>
      <c r="AA145" s="165" t="s">
        <v>108</v>
      </c>
      <c r="AB145" s="165" t="s">
        <v>566</v>
      </c>
      <c r="AC145" s="165" t="s">
        <v>511</v>
      </c>
      <c r="AD145" s="165">
        <v>69081</v>
      </c>
      <c r="AE145" s="168">
        <v>6.815743</v>
      </c>
      <c r="AF145" s="168">
        <v>5.187315</v>
      </c>
      <c r="AG145" s="168">
        <f t="shared" si="2"/>
        <v>12.003058</v>
      </c>
      <c r="AI145" t="s">
        <v>637</v>
      </c>
      <c r="AK145" s="169" t="s">
        <v>638</v>
      </c>
    </row>
  </sheetData>
  <mergeCells count="6">
    <mergeCell ref="AE3:AG3"/>
    <mergeCell ref="A3:H3"/>
    <mergeCell ref="I3:L3"/>
    <mergeCell ref="M3:W3"/>
    <mergeCell ref="X3:Z3"/>
    <mergeCell ref="AA3:AD3"/>
  </mergeCells>
  <hyperlinks>
    <hyperlink ref="L18" r:id="rId1" display="mailto:starosta@breclav.eu"/>
    <hyperlink ref="L19:L20" r:id="rId2" display="starosta@breclav.eu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E3D29-BFF6-44DB-8C64-F7F36AC879FF}">
  <sheetPr>
    <pageSetUpPr fitToPage="1"/>
  </sheetPr>
  <dimension ref="A1:Y179"/>
  <sheetViews>
    <sheetView workbookViewId="0" topLeftCell="A89">
      <selection activeCell="A1" sqref="A1:A3"/>
    </sheetView>
  </sheetViews>
  <sheetFormatPr defaultColWidth="9.140625" defaultRowHeight="15"/>
  <cols>
    <col min="1" max="1" width="60.57421875" style="0" customWidth="1"/>
    <col min="2" max="2" width="33.28125" style="0" customWidth="1"/>
    <col min="3" max="4" width="20.7109375" style="0" customWidth="1"/>
    <col min="5" max="5" width="17.8515625" style="0" bestFit="1" customWidth="1"/>
    <col min="6" max="6" width="10.28125" style="0" customWidth="1"/>
    <col min="7" max="7" width="16.421875" style="0" customWidth="1"/>
    <col min="8" max="8" width="19.28125" style="0" customWidth="1"/>
    <col min="9" max="10" width="14.8515625" style="0" hidden="1" customWidth="1"/>
    <col min="11" max="11" width="14.8515625" style="0" customWidth="1"/>
    <col min="13" max="13" width="12.7109375" style="0" bestFit="1" customWidth="1"/>
    <col min="15" max="24" width="13.28125" style="0" customWidth="1"/>
    <col min="25" max="25" width="28.00390625" style="0" customWidth="1"/>
    <col min="47" max="47" width="18.7109375" style="0" customWidth="1"/>
    <col min="62" max="62" width="20.7109375" style="0" customWidth="1"/>
    <col min="77" max="77" width="19.57421875" style="0" customWidth="1"/>
    <col min="92" max="92" width="16.00390625" style="0" customWidth="1"/>
  </cols>
  <sheetData>
    <row r="1" spans="1:25" ht="72">
      <c r="A1" s="194" t="s">
        <v>8</v>
      </c>
      <c r="B1" s="205" t="s">
        <v>9</v>
      </c>
      <c r="C1" s="202" t="s">
        <v>431</v>
      </c>
      <c r="D1" s="199" t="s">
        <v>432</v>
      </c>
      <c r="E1" s="134" t="s">
        <v>421</v>
      </c>
      <c r="F1" s="134" t="s">
        <v>422</v>
      </c>
      <c r="G1" s="155" t="s">
        <v>447</v>
      </c>
      <c r="H1" s="144" t="s">
        <v>435</v>
      </c>
      <c r="I1" s="134" t="s">
        <v>424</v>
      </c>
      <c r="J1" s="135" t="s">
        <v>424</v>
      </c>
      <c r="K1" s="208" t="s">
        <v>426</v>
      </c>
      <c r="L1" s="209"/>
      <c r="M1" s="210" t="s">
        <v>436</v>
      </c>
      <c r="N1" s="211"/>
      <c r="O1" s="202" t="s">
        <v>437</v>
      </c>
      <c r="P1" s="202" t="s">
        <v>438</v>
      </c>
      <c r="Q1" s="202" t="s">
        <v>439</v>
      </c>
      <c r="R1" s="202" t="s">
        <v>440</v>
      </c>
      <c r="S1" s="202" t="s">
        <v>441</v>
      </c>
      <c r="T1" s="199" t="s">
        <v>442</v>
      </c>
      <c r="U1" s="199" t="s">
        <v>443</v>
      </c>
      <c r="V1" s="199" t="s">
        <v>444</v>
      </c>
      <c r="W1" s="199" t="s">
        <v>445</v>
      </c>
      <c r="X1" s="199" t="s">
        <v>13</v>
      </c>
      <c r="Y1" s="199" t="s">
        <v>446</v>
      </c>
    </row>
    <row r="2" spans="1:25" ht="15">
      <c r="A2" s="195"/>
      <c r="B2" s="206"/>
      <c r="C2" s="203"/>
      <c r="D2" s="200"/>
      <c r="E2" s="136" t="s">
        <v>433</v>
      </c>
      <c r="F2" s="136" t="s">
        <v>433</v>
      </c>
      <c r="G2" s="136" t="s">
        <v>433</v>
      </c>
      <c r="H2" s="136" t="s">
        <v>433</v>
      </c>
      <c r="I2" s="136"/>
      <c r="J2" s="137"/>
      <c r="K2" s="138" t="s">
        <v>427</v>
      </c>
      <c r="L2" s="139" t="s">
        <v>428</v>
      </c>
      <c r="M2" s="138" t="s">
        <v>427</v>
      </c>
      <c r="N2" s="139" t="s">
        <v>428</v>
      </c>
      <c r="O2" s="203"/>
      <c r="P2" s="203"/>
      <c r="Q2" s="203"/>
      <c r="R2" s="203"/>
      <c r="S2" s="203"/>
      <c r="T2" s="200"/>
      <c r="U2" s="200"/>
      <c r="V2" s="200"/>
      <c r="W2" s="200"/>
      <c r="X2" s="200"/>
      <c r="Y2" s="200"/>
    </row>
    <row r="3" spans="1:25" ht="15" thickBot="1">
      <c r="A3" s="196"/>
      <c r="B3" s="207"/>
      <c r="C3" s="204"/>
      <c r="D3" s="201"/>
      <c r="E3" s="140" t="s">
        <v>423</v>
      </c>
      <c r="F3" s="140" t="s">
        <v>423</v>
      </c>
      <c r="G3" s="140" t="s">
        <v>423</v>
      </c>
      <c r="H3" s="140" t="s">
        <v>434</v>
      </c>
      <c r="I3" s="140" t="s">
        <v>423</v>
      </c>
      <c r="J3" s="141" t="s">
        <v>425</v>
      </c>
      <c r="K3" s="142" t="s">
        <v>429</v>
      </c>
      <c r="L3" s="143" t="s">
        <v>430</v>
      </c>
      <c r="M3" s="142" t="s">
        <v>429</v>
      </c>
      <c r="N3" s="143" t="s">
        <v>430</v>
      </c>
      <c r="O3" s="204"/>
      <c r="P3" s="204"/>
      <c r="Q3" s="204"/>
      <c r="R3" s="204"/>
      <c r="S3" s="204"/>
      <c r="T3" s="201"/>
      <c r="U3" s="201"/>
      <c r="V3" s="201"/>
      <c r="W3" s="201"/>
      <c r="X3" s="201"/>
      <c r="Y3" s="201"/>
    </row>
    <row r="4" spans="1:25" ht="15">
      <c r="A4" s="89" t="s">
        <v>18</v>
      </c>
      <c r="B4" s="146" t="s">
        <v>19</v>
      </c>
      <c r="C4" s="133" t="s">
        <v>448</v>
      </c>
      <c r="D4" s="133" t="s">
        <v>18</v>
      </c>
      <c r="E4" s="133">
        <f>'Spotřeba tepla'!BB4/3.6</f>
        <v>896.6666666666666</v>
      </c>
      <c r="F4" s="133">
        <f>'Spotřeba zemního plynu'!BB4</f>
        <v>1021.5</v>
      </c>
      <c r="G4" s="154">
        <f>'Spotřeba elektřiny'!BB4</f>
        <v>387.74300000000005</v>
      </c>
      <c r="H4" s="133"/>
      <c r="I4" s="133">
        <f>G4+IF(E4&gt;0,E4,F4)</f>
        <v>1284.4096666666667</v>
      </c>
      <c r="J4" s="128">
        <f aca="true" t="shared" si="0" ref="J4:J35">I4/$I$179</f>
        <v>0.15080585932111965</v>
      </c>
      <c r="K4" s="80"/>
      <c r="L4" s="81"/>
      <c r="M4" s="80"/>
      <c r="N4" s="81"/>
      <c r="O4" s="133" t="s">
        <v>468</v>
      </c>
      <c r="P4" s="133" t="s">
        <v>467</v>
      </c>
      <c r="Q4" s="133"/>
      <c r="R4" s="133" t="s">
        <v>470</v>
      </c>
      <c r="S4" s="133" t="s">
        <v>468</v>
      </c>
      <c r="T4" s="133" t="s">
        <v>472</v>
      </c>
      <c r="U4" s="133" t="s">
        <v>475</v>
      </c>
      <c r="V4" s="133" t="s">
        <v>468</v>
      </c>
      <c r="W4" s="133"/>
      <c r="X4" s="133">
        <v>1</v>
      </c>
      <c r="Y4" s="145" t="s">
        <v>17</v>
      </c>
    </row>
    <row r="5" spans="1:25" ht="57.6">
      <c r="A5" s="89" t="s">
        <v>21</v>
      </c>
      <c r="B5" s="146" t="s">
        <v>22</v>
      </c>
      <c r="C5" s="133" t="s">
        <v>448</v>
      </c>
      <c r="D5" s="133" t="s">
        <v>21</v>
      </c>
      <c r="E5" s="133">
        <f>'Spotřeba tepla'!BB5/3.6</f>
        <v>273.3333333333333</v>
      </c>
      <c r="F5" s="133">
        <f>'Spotřeba zemního plynu'!BB5</f>
        <v>299.5</v>
      </c>
      <c r="G5" s="154">
        <f>'Spotřeba elektřiny'!BB5</f>
        <v>270.72</v>
      </c>
      <c r="H5" s="133"/>
      <c r="I5" s="133">
        <f>G5+IF(E5&gt;0,E5,F5)</f>
        <v>544.0533333333333</v>
      </c>
      <c r="J5" s="128">
        <f t="shared" si="0"/>
        <v>0.06387870831179736</v>
      </c>
      <c r="K5" s="80"/>
      <c r="L5" s="81"/>
      <c r="M5" s="80"/>
      <c r="N5" s="81"/>
      <c r="O5" s="133"/>
      <c r="P5" s="133" t="s">
        <v>469</v>
      </c>
      <c r="Q5" s="133"/>
      <c r="R5" s="133" t="s">
        <v>470</v>
      </c>
      <c r="S5" s="133" t="s">
        <v>468</v>
      </c>
      <c r="T5" s="133" t="s">
        <v>473</v>
      </c>
      <c r="U5" s="133" t="s">
        <v>468</v>
      </c>
      <c r="V5" s="133" t="s">
        <v>472</v>
      </c>
      <c r="W5" s="133"/>
      <c r="X5" s="133">
        <v>4</v>
      </c>
      <c r="Y5" s="145" t="s">
        <v>20</v>
      </c>
    </row>
    <row r="6" spans="1:25" ht="15">
      <c r="A6" s="89" t="s">
        <v>25</v>
      </c>
      <c r="B6" s="146" t="s">
        <v>26</v>
      </c>
      <c r="C6" s="133" t="s">
        <v>448</v>
      </c>
      <c r="D6" s="133" t="s">
        <v>462</v>
      </c>
      <c r="E6" s="133">
        <f>'Spotřeba tepla'!BB6/3.6</f>
        <v>738.4722222222222</v>
      </c>
      <c r="F6" s="133">
        <f>'Spotřeba zemního plynu'!BB6</f>
        <v>820.5</v>
      </c>
      <c r="G6" s="154">
        <f>'Spotřeba elektřiny'!BB6</f>
        <v>193.67999999999998</v>
      </c>
      <c r="H6" s="133"/>
      <c r="I6" s="133">
        <f>G6+IF(E6&gt;0,E6,F6)</f>
        <v>932.1522222222221</v>
      </c>
      <c r="J6" s="128">
        <f t="shared" si="0"/>
        <v>0.10944640213985217</v>
      </c>
      <c r="K6" s="80"/>
      <c r="L6" s="81"/>
      <c r="M6" s="80"/>
      <c r="N6" s="81"/>
      <c r="O6" s="133" t="s">
        <v>466</v>
      </c>
      <c r="P6" s="133" t="s">
        <v>466</v>
      </c>
      <c r="Q6" s="133"/>
      <c r="R6" s="133" t="s">
        <v>470</v>
      </c>
      <c r="S6" s="133" t="s">
        <v>472</v>
      </c>
      <c r="T6" s="133" t="s">
        <v>474</v>
      </c>
      <c r="U6" s="133" t="s">
        <v>468</v>
      </c>
      <c r="V6" s="133" t="s">
        <v>474</v>
      </c>
      <c r="W6" s="133"/>
      <c r="X6" s="133">
        <v>1</v>
      </c>
      <c r="Y6" s="145" t="s">
        <v>24</v>
      </c>
    </row>
    <row r="7" spans="1:25" ht="15">
      <c r="A7" s="89" t="s">
        <v>28</v>
      </c>
      <c r="B7" s="146" t="s">
        <v>29</v>
      </c>
      <c r="C7" s="133" t="s">
        <v>448</v>
      </c>
      <c r="D7" s="133" t="s">
        <v>461</v>
      </c>
      <c r="E7" s="133">
        <f>'Spotřeba tepla'!BB7/3.6</f>
        <v>816.9444444444445</v>
      </c>
      <c r="F7" s="133">
        <f>'Spotřeba zemního plynu'!BB7</f>
        <v>1241.5</v>
      </c>
      <c r="G7" s="154">
        <f>'Spotřeba elektřiny'!BB7</f>
        <v>325.59200000000004</v>
      </c>
      <c r="H7" s="133"/>
      <c r="I7" s="133">
        <f>G7+IF(E7&gt;0,E7,F7)</f>
        <v>1142.5364444444444</v>
      </c>
      <c r="J7" s="128">
        <f t="shared" si="0"/>
        <v>0.13414815754018858</v>
      </c>
      <c r="K7" s="80"/>
      <c r="L7" s="81"/>
      <c r="M7" s="80"/>
      <c r="N7" s="81"/>
      <c r="O7" s="133"/>
      <c r="P7" s="133"/>
      <c r="Q7" s="133"/>
      <c r="R7" s="133" t="s">
        <v>470</v>
      </c>
      <c r="S7" s="133" t="s">
        <v>468</v>
      </c>
      <c r="T7" s="133" t="s">
        <v>468</v>
      </c>
      <c r="U7" s="133" t="s">
        <v>468</v>
      </c>
      <c r="V7" s="133"/>
      <c r="W7" s="133"/>
      <c r="X7" s="133">
        <v>1</v>
      </c>
      <c r="Y7" s="145" t="s">
        <v>27</v>
      </c>
    </row>
    <row r="8" spans="1:25" ht="15">
      <c r="A8" s="89" t="s">
        <v>31</v>
      </c>
      <c r="B8" s="146" t="s">
        <v>32</v>
      </c>
      <c r="C8" s="133" t="s">
        <v>448</v>
      </c>
      <c r="D8" s="133" t="s">
        <v>449</v>
      </c>
      <c r="E8" s="133">
        <f>'Spotřeba tepla'!BB8/3.6</f>
        <v>415.27777777777777</v>
      </c>
      <c r="F8" s="133">
        <f>'Spotřeba zemního plynu'!BB8</f>
        <v>0</v>
      </c>
      <c r="G8" s="154">
        <f>'Spotřeba elektřiny'!BB8</f>
        <v>88.16199999999999</v>
      </c>
      <c r="H8" s="133"/>
      <c r="I8" s="133">
        <f aca="true" t="shared" si="1" ref="I8:I39">G8+IF(E8&gt;0,E8,F8)</f>
        <v>503.43977777777775</v>
      </c>
      <c r="J8" s="128">
        <f t="shared" si="0"/>
        <v>0.05911016576295721</v>
      </c>
      <c r="K8" s="80"/>
      <c r="L8" s="81"/>
      <c r="M8" s="80"/>
      <c r="N8" s="81"/>
      <c r="O8" s="133"/>
      <c r="P8" s="133"/>
      <c r="Q8" s="133"/>
      <c r="R8" s="133" t="s">
        <v>470</v>
      </c>
      <c r="S8" s="133" t="s">
        <v>468</v>
      </c>
      <c r="T8" s="133" t="s">
        <v>468</v>
      </c>
      <c r="U8" s="133" t="s">
        <v>468</v>
      </c>
      <c r="V8" s="133"/>
      <c r="W8" s="133"/>
      <c r="X8" s="133">
        <v>1</v>
      </c>
      <c r="Y8" s="145" t="s">
        <v>30</v>
      </c>
    </row>
    <row r="9" spans="1:25" ht="15">
      <c r="A9" s="89" t="s">
        <v>34</v>
      </c>
      <c r="B9" s="146" t="s">
        <v>35</v>
      </c>
      <c r="C9" s="133" t="s">
        <v>448</v>
      </c>
      <c r="D9" s="133" t="s">
        <v>34</v>
      </c>
      <c r="E9" s="133">
        <f>'Spotřeba tepla'!BB9/3.6</f>
        <v>415.8333333333333</v>
      </c>
      <c r="F9" s="133">
        <f>'Spotřeba zemního plynu'!BB9</f>
        <v>471.5</v>
      </c>
      <c r="G9" s="154">
        <f>'Spotřeba elektřiny'!BB9</f>
        <v>79.253</v>
      </c>
      <c r="H9" s="133"/>
      <c r="I9" s="133">
        <f t="shared" si="1"/>
        <v>495.0863333333333</v>
      </c>
      <c r="J9" s="128">
        <f t="shared" si="0"/>
        <v>0.05812936625604832</v>
      </c>
      <c r="K9" s="80"/>
      <c r="L9" s="81"/>
      <c r="M9" s="80"/>
      <c r="N9" s="81"/>
      <c r="O9" s="133"/>
      <c r="P9" s="133"/>
      <c r="Q9" s="133"/>
      <c r="R9" s="133" t="s">
        <v>470</v>
      </c>
      <c r="S9" s="133" t="s">
        <v>468</v>
      </c>
      <c r="T9" s="133" t="s">
        <v>468</v>
      </c>
      <c r="U9" s="133" t="s">
        <v>468</v>
      </c>
      <c r="V9" s="133"/>
      <c r="W9" s="133"/>
      <c r="X9" s="133">
        <v>1</v>
      </c>
      <c r="Y9" s="145" t="s">
        <v>33</v>
      </c>
    </row>
    <row r="10" spans="1:25" ht="57.6">
      <c r="A10" s="89" t="s">
        <v>37</v>
      </c>
      <c r="B10" s="146" t="s">
        <v>38</v>
      </c>
      <c r="C10" s="133" t="s">
        <v>448</v>
      </c>
      <c r="D10" s="133" t="s">
        <v>463</v>
      </c>
      <c r="E10" s="133">
        <f>'Spotřeba tepla'!BB10/3.6</f>
        <v>58.19444444444444</v>
      </c>
      <c r="F10" s="133"/>
      <c r="G10" s="154">
        <f>'Spotřeba elektřiny'!BB10</f>
        <v>36.604</v>
      </c>
      <c r="H10" s="133"/>
      <c r="I10" s="133">
        <f t="shared" si="1"/>
        <v>94.79844444444444</v>
      </c>
      <c r="J10" s="128">
        <f t="shared" si="0"/>
        <v>0.011130530427921516</v>
      </c>
      <c r="K10" s="80"/>
      <c r="L10" s="81"/>
      <c r="M10" s="80"/>
      <c r="N10" s="81"/>
      <c r="O10" s="133"/>
      <c r="P10" s="133"/>
      <c r="Q10" s="133"/>
      <c r="R10" s="133" t="s">
        <v>471</v>
      </c>
      <c r="S10" s="133"/>
      <c r="T10" s="133"/>
      <c r="U10" s="133" t="s">
        <v>468</v>
      </c>
      <c r="V10" s="133"/>
      <c r="W10" s="133"/>
      <c r="X10" s="133">
        <v>4</v>
      </c>
      <c r="Y10" s="145" t="s">
        <v>36</v>
      </c>
    </row>
    <row r="11" spans="1:25" ht="43.2">
      <c r="A11" s="89" t="s">
        <v>40</v>
      </c>
      <c r="B11" s="146" t="s">
        <v>41</v>
      </c>
      <c r="C11" s="133" t="s">
        <v>448</v>
      </c>
      <c r="D11" s="133" t="s">
        <v>449</v>
      </c>
      <c r="E11" s="133">
        <f>'Spotřeba tepla'!BB11/3.6</f>
        <v>532.7777777777777</v>
      </c>
      <c r="F11" s="133"/>
      <c r="G11" s="154">
        <f>'Spotřeba elektřiny'!BB11</f>
        <v>49.243</v>
      </c>
      <c r="H11" s="133"/>
      <c r="I11" s="133">
        <f t="shared" si="1"/>
        <v>582.0207777777778</v>
      </c>
      <c r="J11" s="128">
        <f t="shared" si="0"/>
        <v>0.06833656411455757</v>
      </c>
      <c r="K11" s="80"/>
      <c r="L11" s="81"/>
      <c r="M11" s="80"/>
      <c r="N11" s="81"/>
      <c r="O11" s="133"/>
      <c r="P11" s="133"/>
      <c r="Q11" s="133"/>
      <c r="R11" s="133" t="s">
        <v>471</v>
      </c>
      <c r="S11" s="133" t="s">
        <v>468</v>
      </c>
      <c r="T11" s="133" t="s">
        <v>468</v>
      </c>
      <c r="U11" s="133" t="s">
        <v>468</v>
      </c>
      <c r="V11" s="133"/>
      <c r="W11" s="133"/>
      <c r="X11" s="133">
        <v>3</v>
      </c>
      <c r="Y11" s="145" t="s">
        <v>39</v>
      </c>
    </row>
    <row r="12" spans="1:25" ht="28.8">
      <c r="A12" s="89" t="s">
        <v>44</v>
      </c>
      <c r="B12" s="146" t="s">
        <v>45</v>
      </c>
      <c r="C12" s="133" t="s">
        <v>448</v>
      </c>
      <c r="D12" s="133" t="s">
        <v>450</v>
      </c>
      <c r="E12" s="133">
        <f>'Spotřeba tepla'!BB12/3.6</f>
        <v>133.47222222222223</v>
      </c>
      <c r="F12" s="133">
        <f>'Spotřeba zemního plynu'!BB12</f>
        <v>157</v>
      </c>
      <c r="G12" s="154">
        <f>'Spotřeba elektřiny'!BB12</f>
        <v>45.457</v>
      </c>
      <c r="H12" s="133"/>
      <c r="I12" s="133">
        <f t="shared" si="1"/>
        <v>178.92922222222222</v>
      </c>
      <c r="J12" s="128">
        <f t="shared" si="0"/>
        <v>0.021008542535272467</v>
      </c>
      <c r="K12" s="80"/>
      <c r="L12" s="81"/>
      <c r="M12" s="80"/>
      <c r="N12" s="81"/>
      <c r="O12" s="133"/>
      <c r="P12" s="133"/>
      <c r="Q12" s="133"/>
      <c r="R12" s="133" t="s">
        <v>470</v>
      </c>
      <c r="S12" s="133" t="s">
        <v>468</v>
      </c>
      <c r="T12" s="133" t="s">
        <v>468</v>
      </c>
      <c r="U12" s="133" t="s">
        <v>468</v>
      </c>
      <c r="V12" s="133"/>
      <c r="W12" s="133"/>
      <c r="X12" s="133">
        <v>1</v>
      </c>
      <c r="Y12" s="145" t="s">
        <v>43</v>
      </c>
    </row>
    <row r="13" spans="1:25" ht="24">
      <c r="A13" s="89" t="s">
        <v>47</v>
      </c>
      <c r="B13" s="146" t="s">
        <v>48</v>
      </c>
      <c r="C13" s="133" t="s">
        <v>448</v>
      </c>
      <c r="D13" s="133"/>
      <c r="E13" s="133"/>
      <c r="F13" s="133"/>
      <c r="G13" s="154">
        <f>'Spotřeba elektřiny'!BB13</f>
        <v>15.461</v>
      </c>
      <c r="H13" s="133"/>
      <c r="I13" s="133">
        <f t="shared" si="1"/>
        <v>15.461</v>
      </c>
      <c r="J13" s="128">
        <f t="shared" si="0"/>
        <v>0.0018153159785965205</v>
      </c>
      <c r="K13" s="80"/>
      <c r="L13" s="81"/>
      <c r="M13" s="80"/>
      <c r="N13" s="81"/>
      <c r="O13" s="133"/>
      <c r="P13" s="133"/>
      <c r="Q13" s="133"/>
      <c r="R13" s="133"/>
      <c r="S13" s="133"/>
      <c r="T13" s="133"/>
      <c r="U13" s="133" t="s">
        <v>468</v>
      </c>
      <c r="V13" s="133"/>
      <c r="W13" s="133"/>
      <c r="X13" s="133">
        <v>1</v>
      </c>
      <c r="Y13" s="145" t="s">
        <v>46</v>
      </c>
    </row>
    <row r="14" spans="1:25" ht="15">
      <c r="A14" s="89" t="s">
        <v>50</v>
      </c>
      <c r="B14" s="146" t="s">
        <v>51</v>
      </c>
      <c r="C14" s="133" t="s">
        <v>448</v>
      </c>
      <c r="D14" s="133" t="s">
        <v>449</v>
      </c>
      <c r="E14" s="133">
        <f>'Spotřeba tepla'!BB14/3.6</f>
        <v>148.47222222222223</v>
      </c>
      <c r="F14" s="133">
        <f>'Spotřeba zemního plynu'!BB14</f>
        <v>341.5</v>
      </c>
      <c r="G14" s="154">
        <f>'Spotřeba elektřiny'!BB14</f>
        <v>47.479</v>
      </c>
      <c r="H14" s="133"/>
      <c r="I14" s="133">
        <f t="shared" si="1"/>
        <v>195.9512222222222</v>
      </c>
      <c r="J14" s="128">
        <f t="shared" si="0"/>
        <v>0.02300713955924698</v>
      </c>
      <c r="K14" s="80"/>
      <c r="L14" s="81"/>
      <c r="M14" s="80"/>
      <c r="N14" s="81"/>
      <c r="O14" s="133"/>
      <c r="P14" s="133"/>
      <c r="Q14" s="133"/>
      <c r="R14" s="133" t="s">
        <v>470</v>
      </c>
      <c r="S14" s="133" t="s">
        <v>468</v>
      </c>
      <c r="T14" s="133" t="s">
        <v>468</v>
      </c>
      <c r="U14" s="133" t="s">
        <v>468</v>
      </c>
      <c r="V14" s="133"/>
      <c r="W14" s="133"/>
      <c r="X14" s="133">
        <v>1</v>
      </c>
      <c r="Y14" s="145" t="s">
        <v>49</v>
      </c>
    </row>
    <row r="15" spans="1:25" ht="15">
      <c r="A15" s="89" t="s">
        <v>53</v>
      </c>
      <c r="B15" s="146" t="s">
        <v>54</v>
      </c>
      <c r="C15" s="133" t="s">
        <v>448</v>
      </c>
      <c r="D15" s="133" t="s">
        <v>449</v>
      </c>
      <c r="E15" s="133">
        <f>'Spotřeba tepla'!BB15/3.6</f>
        <v>141.66666666666666</v>
      </c>
      <c r="F15" s="133">
        <f>'Spotřeba zemního plynu'!BB15</f>
        <v>164</v>
      </c>
      <c r="G15" s="154">
        <f>'Spotřeba elektřiny'!BB15</f>
        <v>36.254</v>
      </c>
      <c r="H15" s="133"/>
      <c r="I15" s="133">
        <f t="shared" si="1"/>
        <v>177.92066666666665</v>
      </c>
      <c r="J15" s="128">
        <f t="shared" si="0"/>
        <v>0.020890125420253883</v>
      </c>
      <c r="K15" s="80"/>
      <c r="L15" s="81"/>
      <c r="M15" s="80"/>
      <c r="N15" s="81"/>
      <c r="O15" s="133"/>
      <c r="P15" s="133"/>
      <c r="Q15" s="133"/>
      <c r="R15" s="133" t="s">
        <v>470</v>
      </c>
      <c r="S15" s="133" t="s">
        <v>468</v>
      </c>
      <c r="T15" s="133" t="s">
        <v>468</v>
      </c>
      <c r="U15" s="133" t="s">
        <v>468</v>
      </c>
      <c r="V15" s="133"/>
      <c r="W15" s="133"/>
      <c r="X15" s="133">
        <v>1</v>
      </c>
      <c r="Y15" s="145" t="s">
        <v>52</v>
      </c>
    </row>
    <row r="16" spans="1:25" ht="15">
      <c r="A16" s="89" t="s">
        <v>56</v>
      </c>
      <c r="B16" s="146" t="s">
        <v>57</v>
      </c>
      <c r="C16" s="133" t="s">
        <v>448</v>
      </c>
      <c r="D16" s="133" t="s">
        <v>21</v>
      </c>
      <c r="E16" s="133">
        <f>'Spotřeba tepla'!BB16/3.6</f>
        <v>128.47222222222223</v>
      </c>
      <c r="F16" s="133">
        <f>'Spotřeba zemního plynu'!BB16</f>
        <v>144.5</v>
      </c>
      <c r="G16" s="154">
        <f>'Spotřeba elektřiny'!BB16</f>
        <v>42.230999999999995</v>
      </c>
      <c r="H16" s="133"/>
      <c r="I16" s="133">
        <f t="shared" si="1"/>
        <v>170.70322222222222</v>
      </c>
      <c r="J16" s="128">
        <f t="shared" si="0"/>
        <v>0.020042706610045445</v>
      </c>
      <c r="K16" s="80"/>
      <c r="L16" s="81"/>
      <c r="M16" s="80"/>
      <c r="N16" s="81"/>
      <c r="O16" s="133"/>
      <c r="P16" s="133"/>
      <c r="Q16" s="133"/>
      <c r="R16" s="133" t="s">
        <v>470</v>
      </c>
      <c r="S16" s="133" t="s">
        <v>468</v>
      </c>
      <c r="T16" s="133" t="s">
        <v>468</v>
      </c>
      <c r="U16" s="133" t="s">
        <v>468</v>
      </c>
      <c r="V16" s="133"/>
      <c r="W16" s="133"/>
      <c r="X16" s="133">
        <v>1</v>
      </c>
      <c r="Y16" s="145" t="s">
        <v>55</v>
      </c>
    </row>
    <row r="17" spans="1:25" ht="28.8">
      <c r="A17" s="89" t="s">
        <v>59</v>
      </c>
      <c r="B17" s="146" t="s">
        <v>60</v>
      </c>
      <c r="C17" s="133"/>
      <c r="D17" s="133"/>
      <c r="E17" s="133"/>
      <c r="F17" s="133">
        <f>'Spotřeba zemního plynu'!BB17</f>
        <v>157</v>
      </c>
      <c r="G17" s="154">
        <f>'Spotřeba elektřiny'!BB17</f>
        <v>12.043999999999999</v>
      </c>
      <c r="H17" s="133"/>
      <c r="I17" s="133">
        <f t="shared" si="1"/>
        <v>169.044</v>
      </c>
      <c r="J17" s="128">
        <f t="shared" si="0"/>
        <v>0.019847893039639755</v>
      </c>
      <c r="K17" s="80"/>
      <c r="L17" s="81"/>
      <c r="M17" s="80"/>
      <c r="N17" s="81"/>
      <c r="O17" s="133"/>
      <c r="P17" s="133"/>
      <c r="Q17" s="133"/>
      <c r="R17" s="133"/>
      <c r="S17" s="133"/>
      <c r="T17" s="133"/>
      <c r="U17" s="133" t="s">
        <v>468</v>
      </c>
      <c r="V17" s="133"/>
      <c r="W17" s="133"/>
      <c r="X17" s="133">
        <v>2</v>
      </c>
      <c r="Y17" s="145" t="s">
        <v>58</v>
      </c>
    </row>
    <row r="18" spans="1:25" ht="15">
      <c r="A18" s="89" t="s">
        <v>62</v>
      </c>
      <c r="B18" s="146" t="s">
        <v>63</v>
      </c>
      <c r="C18" s="133" t="s">
        <v>448</v>
      </c>
      <c r="D18" s="133" t="s">
        <v>451</v>
      </c>
      <c r="E18" s="133"/>
      <c r="F18" s="133"/>
      <c r="G18" s="154">
        <f>'Spotřeba elektřiny'!BB18</f>
        <v>6.968999999999999</v>
      </c>
      <c r="H18" s="133"/>
      <c r="I18" s="133">
        <f t="shared" si="1"/>
        <v>6.968999999999999</v>
      </c>
      <c r="J18" s="128">
        <f t="shared" si="0"/>
        <v>0.0008182483057266121</v>
      </c>
      <c r="K18" s="80"/>
      <c r="L18" s="81"/>
      <c r="M18" s="80"/>
      <c r="N18" s="81"/>
      <c r="O18" s="133"/>
      <c r="P18" s="133"/>
      <c r="Q18" s="133"/>
      <c r="R18" s="133"/>
      <c r="S18" s="133"/>
      <c r="T18" s="133"/>
      <c r="U18" s="133" t="s">
        <v>468</v>
      </c>
      <c r="V18" s="133"/>
      <c r="W18" s="133"/>
      <c r="X18" s="133">
        <v>1</v>
      </c>
      <c r="Y18" s="145" t="s">
        <v>61</v>
      </c>
    </row>
    <row r="19" spans="1:25" ht="28.8">
      <c r="A19" s="89" t="s">
        <v>65</v>
      </c>
      <c r="B19" s="146" t="s">
        <v>66</v>
      </c>
      <c r="C19" s="133" t="s">
        <v>448</v>
      </c>
      <c r="D19" s="133" t="s">
        <v>449</v>
      </c>
      <c r="E19" s="133"/>
      <c r="F19" s="133"/>
      <c r="G19" s="154">
        <f>'Spotřeba elektřiny'!BB19</f>
        <v>12.827</v>
      </c>
      <c r="H19" s="133"/>
      <c r="I19" s="133">
        <f t="shared" si="1"/>
        <v>12.827</v>
      </c>
      <c r="J19" s="128">
        <f t="shared" si="0"/>
        <v>0.0015060512293808659</v>
      </c>
      <c r="K19" s="80"/>
      <c r="L19" s="81"/>
      <c r="M19" s="80"/>
      <c r="N19" s="81"/>
      <c r="O19" s="133"/>
      <c r="P19" s="133"/>
      <c r="Q19" s="133"/>
      <c r="R19" s="133"/>
      <c r="S19" s="133"/>
      <c r="T19" s="133"/>
      <c r="U19" s="133" t="s">
        <v>468</v>
      </c>
      <c r="V19" s="133"/>
      <c r="W19" s="133"/>
      <c r="X19" s="133">
        <v>2</v>
      </c>
      <c r="Y19" s="145" t="s">
        <v>64</v>
      </c>
    </row>
    <row r="20" spans="1:25" ht="15">
      <c r="A20" s="89" t="s">
        <v>68</v>
      </c>
      <c r="B20" s="146" t="s">
        <v>69</v>
      </c>
      <c r="C20" s="133" t="s">
        <v>448</v>
      </c>
      <c r="D20" s="133" t="s">
        <v>449</v>
      </c>
      <c r="E20" s="133"/>
      <c r="F20" s="133"/>
      <c r="G20" s="154">
        <f>'Spotřeba elektřiny'!BB20</f>
        <v>0</v>
      </c>
      <c r="H20" s="133"/>
      <c r="I20" s="133">
        <f t="shared" si="1"/>
        <v>0</v>
      </c>
      <c r="J20" s="128">
        <f t="shared" si="0"/>
        <v>0</v>
      </c>
      <c r="K20" s="80"/>
      <c r="L20" s="81"/>
      <c r="M20" s="80"/>
      <c r="N20" s="81"/>
      <c r="O20" s="133"/>
      <c r="P20" s="133"/>
      <c r="Q20" s="133"/>
      <c r="R20" s="133"/>
      <c r="S20" s="133"/>
      <c r="T20" s="133"/>
      <c r="U20" s="133" t="s">
        <v>468</v>
      </c>
      <c r="V20" s="133"/>
      <c r="W20" s="133"/>
      <c r="X20" s="133">
        <v>1</v>
      </c>
      <c r="Y20" s="145" t="s">
        <v>67</v>
      </c>
    </row>
    <row r="21" spans="1:25" ht="28.8">
      <c r="A21" s="89" t="s">
        <v>47</v>
      </c>
      <c r="B21" s="146" t="s">
        <v>71</v>
      </c>
      <c r="C21" s="133" t="s">
        <v>448</v>
      </c>
      <c r="D21" s="133" t="s">
        <v>463</v>
      </c>
      <c r="E21" s="133"/>
      <c r="F21" s="133"/>
      <c r="G21" s="154">
        <f>'Spotřeba elektřiny'!BB21</f>
        <v>34.051</v>
      </c>
      <c r="H21" s="133"/>
      <c r="I21" s="133">
        <f t="shared" si="1"/>
        <v>34.051</v>
      </c>
      <c r="J21" s="128">
        <f t="shared" si="0"/>
        <v>0.003998015936044895</v>
      </c>
      <c r="K21" s="80"/>
      <c r="L21" s="81"/>
      <c r="M21" s="80"/>
      <c r="N21" s="81"/>
      <c r="O21" s="133"/>
      <c r="P21" s="133"/>
      <c r="Q21" s="133"/>
      <c r="R21" s="133"/>
      <c r="S21" s="133"/>
      <c r="T21" s="133"/>
      <c r="U21" s="133" t="s">
        <v>468</v>
      </c>
      <c r="V21" s="133"/>
      <c r="W21" s="133"/>
      <c r="X21" s="133">
        <v>2</v>
      </c>
      <c r="Y21" s="145" t="s">
        <v>70</v>
      </c>
    </row>
    <row r="22" spans="1:25" ht="15">
      <c r="A22" s="89" t="s">
        <v>68</v>
      </c>
      <c r="B22" s="146" t="s">
        <v>73</v>
      </c>
      <c r="C22" s="133" t="s">
        <v>448</v>
      </c>
      <c r="D22" s="133" t="s">
        <v>449</v>
      </c>
      <c r="E22" s="133"/>
      <c r="F22" s="133"/>
      <c r="G22" s="154">
        <f>'Spotřeba elektřiny'!BB22</f>
        <v>32.247</v>
      </c>
      <c r="H22" s="133"/>
      <c r="I22" s="133">
        <f t="shared" si="1"/>
        <v>32.247</v>
      </c>
      <c r="J22" s="128">
        <f t="shared" si="0"/>
        <v>0.0037862036324818574</v>
      </c>
      <c r="K22" s="80"/>
      <c r="L22" s="81"/>
      <c r="M22" s="80"/>
      <c r="N22" s="81"/>
      <c r="O22" s="133"/>
      <c r="P22" s="133"/>
      <c r="Q22" s="133"/>
      <c r="R22" s="133"/>
      <c r="S22" s="133"/>
      <c r="T22" s="133"/>
      <c r="U22" s="133" t="s">
        <v>468</v>
      </c>
      <c r="V22" s="133"/>
      <c r="W22" s="133"/>
      <c r="X22" s="133">
        <v>1</v>
      </c>
      <c r="Y22" s="145" t="s">
        <v>72</v>
      </c>
    </row>
    <row r="23" spans="1:25" ht="15">
      <c r="A23" s="89" t="s">
        <v>68</v>
      </c>
      <c r="B23" s="146" t="s">
        <v>75</v>
      </c>
      <c r="C23" s="133" t="s">
        <v>448</v>
      </c>
      <c r="D23" s="133" t="s">
        <v>449</v>
      </c>
      <c r="E23" s="133">
        <f>'Spotřeba tepla'!BB23/3.6</f>
        <v>433.05555555555554</v>
      </c>
      <c r="F23" s="133"/>
      <c r="G23" s="154">
        <f>'Spotřeba elektřiny'!BB23</f>
        <v>6.1610000000000005</v>
      </c>
      <c r="H23" s="133"/>
      <c r="I23" s="133">
        <f t="shared" si="1"/>
        <v>439.21655555555554</v>
      </c>
      <c r="J23" s="128">
        <f t="shared" si="0"/>
        <v>0.05156955121687642</v>
      </c>
      <c r="K23" s="80"/>
      <c r="L23" s="81"/>
      <c r="M23" s="80"/>
      <c r="N23" s="81"/>
      <c r="O23" s="133"/>
      <c r="P23" s="133"/>
      <c r="Q23" s="133"/>
      <c r="R23" s="133" t="s">
        <v>471</v>
      </c>
      <c r="S23" s="133" t="s">
        <v>468</v>
      </c>
      <c r="T23" s="133" t="s">
        <v>468</v>
      </c>
      <c r="U23" s="133" t="s">
        <v>468</v>
      </c>
      <c r="V23" s="133"/>
      <c r="W23" s="133"/>
      <c r="X23" s="133">
        <v>1</v>
      </c>
      <c r="Y23" s="145" t="s">
        <v>74</v>
      </c>
    </row>
    <row r="24" spans="1:25" ht="28.8">
      <c r="A24" s="89" t="s">
        <v>65</v>
      </c>
      <c r="B24" s="146" t="s">
        <v>77</v>
      </c>
      <c r="C24" s="133" t="s">
        <v>448</v>
      </c>
      <c r="D24" s="133" t="s">
        <v>449</v>
      </c>
      <c r="E24" s="133"/>
      <c r="F24" s="133"/>
      <c r="G24" s="154">
        <f>'Spotřeba elektřiny'!BB24</f>
        <v>15.34</v>
      </c>
      <c r="H24" s="133"/>
      <c r="I24" s="133">
        <f t="shared" si="1"/>
        <v>15.34</v>
      </c>
      <c r="J24" s="128">
        <f t="shared" si="0"/>
        <v>0.0018011090557965607</v>
      </c>
      <c r="K24" s="80"/>
      <c r="L24" s="81"/>
      <c r="M24" s="80"/>
      <c r="N24" s="81"/>
      <c r="O24" s="133"/>
      <c r="P24" s="133"/>
      <c r="Q24" s="133"/>
      <c r="R24" s="133"/>
      <c r="S24" s="133"/>
      <c r="T24" s="133"/>
      <c r="U24" s="133" t="s">
        <v>468</v>
      </c>
      <c r="V24" s="133"/>
      <c r="W24" s="133"/>
      <c r="X24" s="133">
        <v>2</v>
      </c>
      <c r="Y24" s="145" t="s">
        <v>76</v>
      </c>
    </row>
    <row r="25" spans="1:25" ht="15">
      <c r="A25" s="89" t="s">
        <v>79</v>
      </c>
      <c r="B25" s="146" t="s">
        <v>80</v>
      </c>
      <c r="C25" s="133" t="s">
        <v>448</v>
      </c>
      <c r="D25" s="133" t="s">
        <v>449</v>
      </c>
      <c r="E25" s="133"/>
      <c r="F25" s="133"/>
      <c r="G25" s="154">
        <f>'Spotřeba elektřiny'!BB25</f>
        <v>17.997999999999998</v>
      </c>
      <c r="H25" s="133"/>
      <c r="I25" s="133">
        <f t="shared" si="1"/>
        <v>17.997999999999998</v>
      </c>
      <c r="J25" s="128">
        <f t="shared" si="0"/>
        <v>0.002113191707055182</v>
      </c>
      <c r="K25" s="80"/>
      <c r="L25" s="81"/>
      <c r="M25" s="80"/>
      <c r="N25" s="81"/>
      <c r="O25" s="133"/>
      <c r="P25" s="133"/>
      <c r="Q25" s="133"/>
      <c r="R25" s="133"/>
      <c r="S25" s="133"/>
      <c r="T25" s="133"/>
      <c r="U25" s="133" t="s">
        <v>468</v>
      </c>
      <c r="V25" s="133"/>
      <c r="W25" s="133"/>
      <c r="X25" s="133">
        <v>1</v>
      </c>
      <c r="Y25" s="145" t="s">
        <v>78</v>
      </c>
    </row>
    <row r="26" spans="1:25" ht="15">
      <c r="A26" s="89" t="s">
        <v>82</v>
      </c>
      <c r="B26" s="146" t="s">
        <v>83</v>
      </c>
      <c r="C26" s="133" t="s">
        <v>448</v>
      </c>
      <c r="D26" s="133" t="s">
        <v>449</v>
      </c>
      <c r="E26" s="133"/>
      <c r="F26" s="133"/>
      <c r="G26" s="154">
        <f>'Spotřeba elektřiny'!BB26</f>
        <v>13.059</v>
      </c>
      <c r="H26" s="133"/>
      <c r="I26" s="133">
        <f t="shared" si="1"/>
        <v>13.059</v>
      </c>
      <c r="J26" s="128">
        <f t="shared" si="0"/>
        <v>0.0015332909491295491</v>
      </c>
      <c r="K26" s="80"/>
      <c r="L26" s="81"/>
      <c r="M26" s="80"/>
      <c r="N26" s="81"/>
      <c r="O26" s="133"/>
      <c r="P26" s="133"/>
      <c r="Q26" s="133"/>
      <c r="R26" s="133"/>
      <c r="S26" s="133"/>
      <c r="T26" s="133"/>
      <c r="U26" s="133" t="s">
        <v>468</v>
      </c>
      <c r="V26" s="133"/>
      <c r="W26" s="133"/>
      <c r="X26" s="133">
        <v>1</v>
      </c>
      <c r="Y26" s="145" t="s">
        <v>81</v>
      </c>
    </row>
    <row r="27" spans="1:25" ht="15">
      <c r="A27" s="89" t="s">
        <v>85</v>
      </c>
      <c r="B27" s="146" t="s">
        <v>86</v>
      </c>
      <c r="C27" s="133" t="s">
        <v>448</v>
      </c>
      <c r="D27" s="133" t="s">
        <v>449</v>
      </c>
      <c r="E27" s="133">
        <f>'Spotřeba tepla'!BB27/3.6</f>
        <v>90.13888888888889</v>
      </c>
      <c r="F27" s="133"/>
      <c r="G27" s="154">
        <f>'Spotřeba elektřiny'!BB27</f>
        <v>5.186</v>
      </c>
      <c r="H27" s="133"/>
      <c r="I27" s="133">
        <f t="shared" si="1"/>
        <v>95.32488888888889</v>
      </c>
      <c r="J27" s="128">
        <f t="shared" si="0"/>
        <v>0.011192341631067713</v>
      </c>
      <c r="K27" s="80"/>
      <c r="L27" s="81"/>
      <c r="M27" s="80"/>
      <c r="N27" s="81"/>
      <c r="O27" s="133"/>
      <c r="P27" s="133"/>
      <c r="Q27" s="133"/>
      <c r="R27" s="133" t="s">
        <v>471</v>
      </c>
      <c r="S27" s="133" t="s">
        <v>468</v>
      </c>
      <c r="T27" s="133" t="s">
        <v>468</v>
      </c>
      <c r="U27" s="133" t="s">
        <v>468</v>
      </c>
      <c r="V27" s="133"/>
      <c r="W27" s="133"/>
      <c r="X27" s="133">
        <v>1</v>
      </c>
      <c r="Y27" s="145" t="s">
        <v>84</v>
      </c>
    </row>
    <row r="28" spans="1:25" ht="28.8">
      <c r="A28" s="89" t="s">
        <v>47</v>
      </c>
      <c r="B28" s="146" t="s">
        <v>88</v>
      </c>
      <c r="C28" s="133" t="s">
        <v>448</v>
      </c>
      <c r="D28" s="133" t="s">
        <v>463</v>
      </c>
      <c r="E28" s="133">
        <f>'Spotřeba tepla'!BB28/3.6</f>
        <v>60.97222222222222</v>
      </c>
      <c r="F28" s="133"/>
      <c r="G28" s="154">
        <f>'Spotřeba elektřiny'!BB28</f>
        <v>1.31</v>
      </c>
      <c r="H28" s="133"/>
      <c r="I28" s="133">
        <f t="shared" si="1"/>
        <v>62.282222222222224</v>
      </c>
      <c r="J28" s="128">
        <f t="shared" si="0"/>
        <v>0.007312716718355817</v>
      </c>
      <c r="K28" s="80"/>
      <c r="L28" s="81"/>
      <c r="M28" s="80"/>
      <c r="N28" s="81"/>
      <c r="O28" s="133"/>
      <c r="P28" s="133"/>
      <c r="Q28" s="133"/>
      <c r="R28" s="133" t="s">
        <v>471</v>
      </c>
      <c r="S28" s="133"/>
      <c r="T28" s="133"/>
      <c r="U28" s="133" t="s">
        <v>468</v>
      </c>
      <c r="V28" s="133"/>
      <c r="W28" s="133"/>
      <c r="X28" s="133">
        <v>2</v>
      </c>
      <c r="Y28" s="145" t="s">
        <v>87</v>
      </c>
    </row>
    <row r="29" spans="1:25" ht="15">
      <c r="A29" s="89" t="s">
        <v>53</v>
      </c>
      <c r="B29" s="146" t="s">
        <v>90</v>
      </c>
      <c r="C29" s="133" t="s">
        <v>448</v>
      </c>
      <c r="D29" s="133" t="s">
        <v>464</v>
      </c>
      <c r="E29" s="133"/>
      <c r="F29" s="133"/>
      <c r="G29" s="154">
        <f>'Spotřeba elektřiny'!BB29</f>
        <v>17.093999999999998</v>
      </c>
      <c r="H29" s="133"/>
      <c r="I29" s="133">
        <f t="shared" si="1"/>
        <v>17.093999999999998</v>
      </c>
      <c r="J29" s="128">
        <f t="shared" si="0"/>
        <v>0.0020070507301034163</v>
      </c>
      <c r="K29" s="80"/>
      <c r="L29" s="81"/>
      <c r="M29" s="80"/>
      <c r="N29" s="81"/>
      <c r="O29" s="133"/>
      <c r="P29" s="133"/>
      <c r="Q29" s="133"/>
      <c r="R29" s="133"/>
      <c r="S29" s="133"/>
      <c r="T29" s="133"/>
      <c r="U29" s="133" t="s">
        <v>468</v>
      </c>
      <c r="V29" s="133"/>
      <c r="W29" s="133"/>
      <c r="X29" s="133">
        <v>1</v>
      </c>
      <c r="Y29" s="145" t="s">
        <v>89</v>
      </c>
    </row>
    <row r="30" spans="1:25" ht="15">
      <c r="A30" s="89" t="s">
        <v>92</v>
      </c>
      <c r="B30" s="146" t="s">
        <v>93</v>
      </c>
      <c r="C30" s="133" t="s">
        <v>448</v>
      </c>
      <c r="D30" s="133" t="s">
        <v>449</v>
      </c>
      <c r="E30" s="133"/>
      <c r="F30" s="133"/>
      <c r="G30" s="154">
        <f>'Spotřeba elektřiny'!BB30</f>
        <v>0.702</v>
      </c>
      <c r="H30" s="133"/>
      <c r="I30" s="133">
        <f t="shared" si="1"/>
        <v>0.702</v>
      </c>
      <c r="J30" s="128">
        <f t="shared" si="0"/>
        <v>8.242363475679176E-05</v>
      </c>
      <c r="K30" s="80"/>
      <c r="L30" s="81"/>
      <c r="M30" s="80"/>
      <c r="N30" s="81"/>
      <c r="O30" s="133"/>
      <c r="P30" s="133"/>
      <c r="Q30" s="133"/>
      <c r="R30" s="133"/>
      <c r="S30" s="133"/>
      <c r="T30" s="133"/>
      <c r="U30" s="133" t="s">
        <v>468</v>
      </c>
      <c r="V30" s="133"/>
      <c r="W30" s="133"/>
      <c r="X30" s="133">
        <v>1</v>
      </c>
      <c r="Y30" s="145" t="s">
        <v>91</v>
      </c>
    </row>
    <row r="31" spans="1:25" ht="15">
      <c r="A31" s="89" t="s">
        <v>95</v>
      </c>
      <c r="B31" s="146" t="s">
        <v>96</v>
      </c>
      <c r="C31" s="133" t="s">
        <v>448</v>
      </c>
      <c r="D31" s="133" t="s">
        <v>449</v>
      </c>
      <c r="E31" s="133">
        <f>'Spotřeba tepla'!BB31/3.6</f>
        <v>208.75</v>
      </c>
      <c r="F31" s="133"/>
      <c r="G31" s="154">
        <f>'Spotřeba elektřiny'!BB31</f>
        <v>11.113</v>
      </c>
      <c r="H31" s="133"/>
      <c r="I31" s="133">
        <f t="shared" si="1"/>
        <v>219.863</v>
      </c>
      <c r="J31" s="128">
        <f t="shared" si="0"/>
        <v>0.025814683203037758</v>
      </c>
      <c r="K31" s="80"/>
      <c r="L31" s="81"/>
      <c r="M31" s="80"/>
      <c r="N31" s="81"/>
      <c r="O31" s="133"/>
      <c r="P31" s="133"/>
      <c r="Q31" s="133"/>
      <c r="R31" s="133" t="s">
        <v>471</v>
      </c>
      <c r="S31" s="133" t="s">
        <v>468</v>
      </c>
      <c r="T31" s="133" t="s">
        <v>468</v>
      </c>
      <c r="U31" s="133" t="s">
        <v>468</v>
      </c>
      <c r="V31" s="133"/>
      <c r="W31" s="133"/>
      <c r="X31" s="133">
        <v>1</v>
      </c>
      <c r="Y31" s="145" t="s">
        <v>94</v>
      </c>
    </row>
    <row r="32" spans="1:25" ht="43.2">
      <c r="A32" s="89" t="s">
        <v>53</v>
      </c>
      <c r="B32" s="146" t="s">
        <v>98</v>
      </c>
      <c r="C32" s="133" t="s">
        <v>448</v>
      </c>
      <c r="D32" s="133" t="s">
        <v>449</v>
      </c>
      <c r="E32" s="133"/>
      <c r="F32" s="133"/>
      <c r="G32" s="154">
        <f>'Spotřeba elektřiny'!BB32</f>
        <v>9.219999999999999</v>
      </c>
      <c r="H32" s="133"/>
      <c r="I32" s="133">
        <f t="shared" si="1"/>
        <v>9.219999999999999</v>
      </c>
      <c r="J32" s="128">
        <f t="shared" si="0"/>
        <v>0.0010825440348399143</v>
      </c>
      <c r="K32" s="80"/>
      <c r="L32" s="81"/>
      <c r="M32" s="80"/>
      <c r="N32" s="81"/>
      <c r="O32" s="133"/>
      <c r="P32" s="133"/>
      <c r="Q32" s="133"/>
      <c r="R32" s="133"/>
      <c r="S32" s="133"/>
      <c r="T32" s="133"/>
      <c r="U32" s="133" t="s">
        <v>468</v>
      </c>
      <c r="V32" s="133"/>
      <c r="W32" s="133"/>
      <c r="X32" s="133">
        <v>3</v>
      </c>
      <c r="Y32" s="145" t="s">
        <v>97</v>
      </c>
    </row>
    <row r="33" spans="1:25" ht="15">
      <c r="A33" s="89" t="s">
        <v>65</v>
      </c>
      <c r="B33" s="146" t="s">
        <v>100</v>
      </c>
      <c r="C33" s="133" t="s">
        <v>448</v>
      </c>
      <c r="D33" s="133" t="s">
        <v>449</v>
      </c>
      <c r="E33" s="133"/>
      <c r="F33" s="133"/>
      <c r="G33" s="154">
        <f>'Spotřeba elektřiny'!BB33</f>
        <v>6.856999999999999</v>
      </c>
      <c r="H33" s="133"/>
      <c r="I33" s="133">
        <f t="shared" si="1"/>
        <v>6.856999999999999</v>
      </c>
      <c r="J33" s="128">
        <f t="shared" si="0"/>
        <v>0.000805098096192765</v>
      </c>
      <c r="K33" s="80"/>
      <c r="L33" s="81"/>
      <c r="M33" s="80"/>
      <c r="N33" s="81"/>
      <c r="O33" s="133"/>
      <c r="P33" s="133"/>
      <c r="Q33" s="133"/>
      <c r="R33" s="133"/>
      <c r="S33" s="133"/>
      <c r="T33" s="133"/>
      <c r="U33" s="133" t="s">
        <v>468</v>
      </c>
      <c r="V33" s="133"/>
      <c r="W33" s="133"/>
      <c r="X33" s="133">
        <v>6</v>
      </c>
      <c r="Y33" s="145" t="s">
        <v>99</v>
      </c>
    </row>
    <row r="34" spans="1:25" ht="100.8">
      <c r="A34" s="89" t="s">
        <v>102</v>
      </c>
      <c r="B34" s="146" t="s">
        <v>103</v>
      </c>
      <c r="C34" s="133" t="s">
        <v>448</v>
      </c>
      <c r="D34" s="133" t="s">
        <v>461</v>
      </c>
      <c r="E34" s="133">
        <f>'Spotřeba tepla'!BB34/3.6</f>
        <v>440.13888888888886</v>
      </c>
      <c r="F34" s="133">
        <f>'Spotřeba zemního plynu'!BB34</f>
        <v>506</v>
      </c>
      <c r="G34" s="154">
        <f>'Spotřeba elektřiny'!BB34</f>
        <v>21.582</v>
      </c>
      <c r="H34" s="133"/>
      <c r="I34" s="133">
        <f t="shared" si="1"/>
        <v>461.72088888888885</v>
      </c>
      <c r="J34" s="128">
        <f t="shared" si="0"/>
        <v>0.05421184317002707</v>
      </c>
      <c r="K34" s="80"/>
      <c r="L34" s="81"/>
      <c r="M34" s="80"/>
      <c r="N34" s="81"/>
      <c r="O34" s="133"/>
      <c r="P34" s="133"/>
      <c r="Q34" s="133"/>
      <c r="R34" s="133" t="s">
        <v>470</v>
      </c>
      <c r="S34" s="133" t="s">
        <v>468</v>
      </c>
      <c r="T34" s="133" t="s">
        <v>468</v>
      </c>
      <c r="U34" s="133" t="s">
        <v>468</v>
      </c>
      <c r="V34" s="133"/>
      <c r="W34" s="133"/>
      <c r="X34" s="133">
        <v>7</v>
      </c>
      <c r="Y34" s="145" t="s">
        <v>101</v>
      </c>
    </row>
    <row r="35" spans="1:25" ht="28.8">
      <c r="A35" s="89" t="s">
        <v>105</v>
      </c>
      <c r="B35" s="146" t="s">
        <v>106</v>
      </c>
      <c r="C35" s="133" t="s">
        <v>448</v>
      </c>
      <c r="D35" s="133" t="s">
        <v>105</v>
      </c>
      <c r="E35" s="133"/>
      <c r="F35" s="133"/>
      <c r="G35" s="154">
        <f>'Spotřeba elektřiny'!BB35</f>
        <v>3.059</v>
      </c>
      <c r="H35" s="133"/>
      <c r="I35" s="133">
        <f t="shared" si="1"/>
        <v>3.059</v>
      </c>
      <c r="J35" s="128">
        <f t="shared" si="0"/>
        <v>0.00035916509789319945</v>
      </c>
      <c r="K35" s="80"/>
      <c r="L35" s="81"/>
      <c r="M35" s="80"/>
      <c r="N35" s="81"/>
      <c r="O35" s="133"/>
      <c r="P35" s="133"/>
      <c r="Q35" s="133"/>
      <c r="R35" s="133"/>
      <c r="S35" s="133" t="s">
        <v>468</v>
      </c>
      <c r="T35" s="133" t="s">
        <v>468</v>
      </c>
      <c r="U35" s="133" t="s">
        <v>468</v>
      </c>
      <c r="V35" s="133"/>
      <c r="W35" s="133"/>
      <c r="X35" s="133">
        <v>2</v>
      </c>
      <c r="Y35" s="145" t="s">
        <v>104</v>
      </c>
    </row>
    <row r="36" spans="1:25" ht="15">
      <c r="A36" s="89" t="s">
        <v>108</v>
      </c>
      <c r="B36" s="146" t="s">
        <v>109</v>
      </c>
      <c r="C36" s="133"/>
      <c r="D36" s="133"/>
      <c r="E36" s="133"/>
      <c r="F36" s="133"/>
      <c r="G36" s="154">
        <f>'Spotřeba elektřiny'!BB36</f>
        <v>3.9520000000000004</v>
      </c>
      <c r="H36" s="133"/>
      <c r="I36" s="133">
        <f t="shared" si="1"/>
        <v>3.9520000000000004</v>
      </c>
      <c r="J36" s="128">
        <f aca="true" t="shared" si="2" ref="J36:J67">I36/$I$179</f>
        <v>0.00046401453640860553</v>
      </c>
      <c r="K36" s="80"/>
      <c r="L36" s="81"/>
      <c r="M36" s="80"/>
      <c r="N36" s="81"/>
      <c r="O36" s="133"/>
      <c r="P36" s="133"/>
      <c r="Q36" s="133"/>
      <c r="R36" s="133"/>
      <c r="S36" s="133"/>
      <c r="T36" s="133"/>
      <c r="U36" s="133" t="s">
        <v>468</v>
      </c>
      <c r="V36" s="133"/>
      <c r="W36" s="133"/>
      <c r="X36" s="133">
        <v>1</v>
      </c>
      <c r="Y36" s="145" t="s">
        <v>107</v>
      </c>
    </row>
    <row r="37" spans="1:25" ht="28.8">
      <c r="A37" s="89" t="s">
        <v>111</v>
      </c>
      <c r="B37" s="146" t="s">
        <v>112</v>
      </c>
      <c r="C37" s="133" t="s">
        <v>448</v>
      </c>
      <c r="D37" s="133" t="s">
        <v>449</v>
      </c>
      <c r="E37" s="133">
        <f>'Spotřeba tepla'!BB37/3.6</f>
        <v>83.88888888888889</v>
      </c>
      <c r="F37" s="133"/>
      <c r="G37" s="154">
        <f>'Spotřeba elektřiny'!BB37</f>
        <v>1.6050000000000002</v>
      </c>
      <c r="H37" s="133"/>
      <c r="I37" s="133">
        <f t="shared" si="1"/>
        <v>85.49388888888889</v>
      </c>
      <c r="J37" s="128">
        <f t="shared" si="2"/>
        <v>0.010038058506717257</v>
      </c>
      <c r="K37" s="80"/>
      <c r="L37" s="81"/>
      <c r="M37" s="80"/>
      <c r="N37" s="81"/>
      <c r="O37" s="133"/>
      <c r="P37" s="133"/>
      <c r="Q37" s="133"/>
      <c r="R37" s="133" t="s">
        <v>471</v>
      </c>
      <c r="S37" s="133" t="s">
        <v>468</v>
      </c>
      <c r="T37" s="133" t="s">
        <v>468</v>
      </c>
      <c r="U37" s="133" t="s">
        <v>468</v>
      </c>
      <c r="V37" s="133"/>
      <c r="W37" s="133"/>
      <c r="X37" s="133">
        <v>2</v>
      </c>
      <c r="Y37" s="145" t="s">
        <v>110</v>
      </c>
    </row>
    <row r="38" spans="1:25" ht="15">
      <c r="A38" s="89" t="s">
        <v>108</v>
      </c>
      <c r="B38" s="146" t="s">
        <v>114</v>
      </c>
      <c r="C38" s="133"/>
      <c r="D38" s="133"/>
      <c r="E38" s="133"/>
      <c r="F38" s="133"/>
      <c r="G38" s="154">
        <f>'Spotřeba elektřiny'!BB38</f>
        <v>0</v>
      </c>
      <c r="H38" s="133"/>
      <c r="I38" s="133">
        <f t="shared" si="1"/>
        <v>0</v>
      </c>
      <c r="J38" s="128">
        <f t="shared" si="2"/>
        <v>0</v>
      </c>
      <c r="K38" s="80"/>
      <c r="L38" s="81"/>
      <c r="M38" s="80"/>
      <c r="N38" s="81"/>
      <c r="O38" s="133"/>
      <c r="P38" s="133"/>
      <c r="Q38" s="133"/>
      <c r="R38" s="133"/>
      <c r="S38" s="133"/>
      <c r="T38" s="133"/>
      <c r="U38" s="133" t="s">
        <v>468</v>
      </c>
      <c r="V38" s="133"/>
      <c r="W38" s="133"/>
      <c r="X38" s="133">
        <v>1</v>
      </c>
      <c r="Y38" s="145" t="s">
        <v>113</v>
      </c>
    </row>
    <row r="39" spans="1:25" ht="15">
      <c r="A39" s="89" t="s">
        <v>108</v>
      </c>
      <c r="B39" s="146" t="s">
        <v>116</v>
      </c>
      <c r="C39" s="133"/>
      <c r="D39" s="133"/>
      <c r="E39" s="133"/>
      <c r="F39" s="133"/>
      <c r="G39" s="154">
        <f>'Spotřeba elektřiny'!BB39</f>
        <v>10.82</v>
      </c>
      <c r="H39" s="133"/>
      <c r="I39" s="133">
        <f t="shared" si="1"/>
        <v>10.82</v>
      </c>
      <c r="J39" s="128">
        <f t="shared" si="2"/>
        <v>0.0012704041710377306</v>
      </c>
      <c r="K39" s="80"/>
      <c r="L39" s="81"/>
      <c r="M39" s="80"/>
      <c r="N39" s="81"/>
      <c r="O39" s="133"/>
      <c r="P39" s="133"/>
      <c r="Q39" s="133"/>
      <c r="R39" s="133"/>
      <c r="S39" s="133"/>
      <c r="T39" s="133"/>
      <c r="U39" s="133" t="s">
        <v>468</v>
      </c>
      <c r="V39" s="133"/>
      <c r="W39" s="133"/>
      <c r="X39" s="133">
        <v>1</v>
      </c>
      <c r="Y39" s="145" t="s">
        <v>115</v>
      </c>
    </row>
    <row r="40" spans="1:25" ht="15">
      <c r="A40" s="89" t="s">
        <v>68</v>
      </c>
      <c r="B40" s="146" t="s">
        <v>118</v>
      </c>
      <c r="C40" s="133" t="s">
        <v>448</v>
      </c>
      <c r="D40" s="133" t="s">
        <v>449</v>
      </c>
      <c r="E40" s="133">
        <f>'Spotřeba tepla'!BB40/3.6</f>
        <v>107.08333333333333</v>
      </c>
      <c r="F40" s="133"/>
      <c r="G40" s="154">
        <f>'Spotřeba elektřiny'!BB40</f>
        <v>1.28</v>
      </c>
      <c r="H40" s="133"/>
      <c r="I40" s="133">
        <f aca="true" t="shared" si="3" ref="I40:I71">G40+IF(E40&gt;0,E40,F40)</f>
        <v>108.36333333333333</v>
      </c>
      <c r="J40" s="128">
        <f t="shared" si="2"/>
        <v>0.012723219099280831</v>
      </c>
      <c r="K40" s="80"/>
      <c r="L40" s="81"/>
      <c r="M40" s="80"/>
      <c r="N40" s="81"/>
      <c r="O40" s="133"/>
      <c r="P40" s="133"/>
      <c r="Q40" s="133"/>
      <c r="R40" s="133" t="s">
        <v>471</v>
      </c>
      <c r="S40" s="133" t="s">
        <v>468</v>
      </c>
      <c r="T40" s="133" t="s">
        <v>468</v>
      </c>
      <c r="U40" s="133" t="s">
        <v>468</v>
      </c>
      <c r="V40" s="133"/>
      <c r="W40" s="133"/>
      <c r="X40" s="133">
        <v>1</v>
      </c>
      <c r="Y40" s="145" t="s">
        <v>117</v>
      </c>
    </row>
    <row r="41" spans="1:25" ht="15">
      <c r="A41" s="89" t="s">
        <v>120</v>
      </c>
      <c r="B41" s="146" t="s">
        <v>121</v>
      </c>
      <c r="C41" s="133" t="s">
        <v>448</v>
      </c>
      <c r="D41" s="133" t="s">
        <v>465</v>
      </c>
      <c r="E41" s="133">
        <f>'Spotřeba tepla'!BB41/3.6</f>
        <v>86.25</v>
      </c>
      <c r="F41" s="133">
        <f>'Spotřeba zemního plynu'!BB41</f>
        <v>216.5</v>
      </c>
      <c r="G41" s="154">
        <f>'Spotřeba elektřiny'!BB41</f>
        <v>9.053999999999998</v>
      </c>
      <c r="H41" s="133"/>
      <c r="I41" s="133">
        <f t="shared" si="3"/>
        <v>95.304</v>
      </c>
      <c r="J41" s="128">
        <f t="shared" si="2"/>
        <v>0.01118988901262291</v>
      </c>
      <c r="K41" s="80"/>
      <c r="L41" s="81"/>
      <c r="M41" s="80"/>
      <c r="N41" s="81"/>
      <c r="O41" s="133"/>
      <c r="P41" s="133"/>
      <c r="Q41" s="133"/>
      <c r="R41" s="133" t="s">
        <v>470</v>
      </c>
      <c r="S41" s="133" t="s">
        <v>468</v>
      </c>
      <c r="T41" s="133" t="s">
        <v>468</v>
      </c>
      <c r="U41" s="133" t="s">
        <v>468</v>
      </c>
      <c r="V41" s="133"/>
      <c r="W41" s="133"/>
      <c r="X41" s="133">
        <v>1</v>
      </c>
      <c r="Y41" s="145" t="s">
        <v>119</v>
      </c>
    </row>
    <row r="42" spans="1:25" ht="15">
      <c r="A42" s="89" t="s">
        <v>108</v>
      </c>
      <c r="B42" s="146" t="s">
        <v>123</v>
      </c>
      <c r="C42" s="133"/>
      <c r="D42" s="133"/>
      <c r="E42" s="133"/>
      <c r="F42" s="133"/>
      <c r="G42" s="154">
        <f>'Spotřeba elektřiny'!BB42</f>
        <v>1.643</v>
      </c>
      <c r="H42" s="133"/>
      <c r="I42" s="133">
        <f t="shared" si="3"/>
        <v>1.643</v>
      </c>
      <c r="J42" s="128">
        <f t="shared" si="2"/>
        <v>0.0001929088773581323</v>
      </c>
      <c r="K42" s="80"/>
      <c r="L42" s="81"/>
      <c r="M42" s="80"/>
      <c r="N42" s="81"/>
      <c r="O42" s="133"/>
      <c r="P42" s="133"/>
      <c r="Q42" s="133"/>
      <c r="R42" s="133"/>
      <c r="S42" s="133"/>
      <c r="T42" s="133"/>
      <c r="U42" s="133" t="s">
        <v>468</v>
      </c>
      <c r="V42" s="133"/>
      <c r="W42" s="133"/>
      <c r="X42" s="133">
        <v>1</v>
      </c>
      <c r="Y42" s="145" t="s">
        <v>122</v>
      </c>
    </row>
    <row r="43" spans="1:25" ht="15">
      <c r="A43" s="89" t="s">
        <v>108</v>
      </c>
      <c r="B43" s="146" t="s">
        <v>125</v>
      </c>
      <c r="C43" s="133"/>
      <c r="D43" s="133"/>
      <c r="E43" s="133">
        <f>'Spotřeba tepla'!BB43/3.6</f>
        <v>75.97222222222221</v>
      </c>
      <c r="F43" s="133">
        <f>'Spotřeba zemního plynu'!BB43</f>
        <v>93.5</v>
      </c>
      <c r="G43" s="154">
        <f>'Spotřeba elektřiny'!BB43</f>
        <v>1.04</v>
      </c>
      <c r="H43" s="133"/>
      <c r="I43" s="133">
        <f t="shared" si="3"/>
        <v>77.01222222222222</v>
      </c>
      <c r="J43" s="128">
        <f t="shared" si="2"/>
        <v>0.00904220409722696</v>
      </c>
      <c r="K43" s="80"/>
      <c r="L43" s="81"/>
      <c r="M43" s="80"/>
      <c r="N43" s="81"/>
      <c r="O43" s="133"/>
      <c r="P43" s="133"/>
      <c r="Q43" s="133"/>
      <c r="R43" s="133" t="s">
        <v>470</v>
      </c>
      <c r="S43" s="133"/>
      <c r="T43" s="133"/>
      <c r="U43" s="133" t="s">
        <v>468</v>
      </c>
      <c r="V43" s="133"/>
      <c r="W43" s="133"/>
      <c r="X43" s="133">
        <v>1</v>
      </c>
      <c r="Y43" s="145" t="s">
        <v>124</v>
      </c>
    </row>
    <row r="44" spans="1:25" ht="15">
      <c r="A44" s="89" t="s">
        <v>108</v>
      </c>
      <c r="B44" s="146" t="s">
        <v>127</v>
      </c>
      <c r="C44" s="133"/>
      <c r="D44" s="133"/>
      <c r="E44" s="133"/>
      <c r="F44" s="133"/>
      <c r="G44" s="154">
        <f>'Spotřeba elektřiny'!BB44</f>
        <v>2.1769999999999996</v>
      </c>
      <c r="H44" s="133"/>
      <c r="I44" s="133">
        <f t="shared" si="3"/>
        <v>2.1769999999999996</v>
      </c>
      <c r="J44" s="128">
        <f t="shared" si="2"/>
        <v>0.00025560719781415333</v>
      </c>
      <c r="K44" s="80"/>
      <c r="L44" s="81"/>
      <c r="M44" s="80"/>
      <c r="N44" s="81"/>
      <c r="O44" s="133"/>
      <c r="P44" s="133"/>
      <c r="Q44" s="133"/>
      <c r="R44" s="133"/>
      <c r="S44" s="133"/>
      <c r="T44" s="133"/>
      <c r="U44" s="133" t="s">
        <v>468</v>
      </c>
      <c r="V44" s="133"/>
      <c r="W44" s="133"/>
      <c r="X44" s="133">
        <v>1</v>
      </c>
      <c r="Y44" s="145" t="s">
        <v>126</v>
      </c>
    </row>
    <row r="45" spans="1:25" ht="15">
      <c r="A45" s="89" t="s">
        <v>129</v>
      </c>
      <c r="B45" s="146" t="s">
        <v>130</v>
      </c>
      <c r="C45" s="133" t="s">
        <v>448</v>
      </c>
      <c r="D45" s="133" t="s">
        <v>449</v>
      </c>
      <c r="E45" s="133"/>
      <c r="F45" s="133"/>
      <c r="G45" s="154">
        <f>'Spotřeba elektřiny'!BB45</f>
        <v>1.6270000000000002</v>
      </c>
      <c r="H45" s="133"/>
      <c r="I45" s="133">
        <f t="shared" si="3"/>
        <v>1.6270000000000002</v>
      </c>
      <c r="J45" s="128">
        <f t="shared" si="2"/>
        <v>0.00019103027599615415</v>
      </c>
      <c r="K45" s="80"/>
      <c r="L45" s="81"/>
      <c r="M45" s="80"/>
      <c r="N45" s="81"/>
      <c r="O45" s="133"/>
      <c r="P45" s="133"/>
      <c r="Q45" s="133"/>
      <c r="R45" s="133"/>
      <c r="S45" s="133"/>
      <c r="T45" s="133"/>
      <c r="U45" s="133" t="s">
        <v>468</v>
      </c>
      <c r="V45" s="133"/>
      <c r="W45" s="133"/>
      <c r="X45" s="133">
        <v>1</v>
      </c>
      <c r="Y45" s="145" t="s">
        <v>128</v>
      </c>
    </row>
    <row r="46" spans="1:25" ht="15">
      <c r="A46" s="89" t="s">
        <v>132</v>
      </c>
      <c r="B46" s="146" t="s">
        <v>133</v>
      </c>
      <c r="C46" s="133" t="s">
        <v>448</v>
      </c>
      <c r="D46" s="133" t="s">
        <v>449</v>
      </c>
      <c r="E46" s="133"/>
      <c r="F46" s="133">
        <f>'Spotřeba zemního plynu'!BB46</f>
        <v>57</v>
      </c>
      <c r="G46" s="154">
        <f>'Spotřeba elektřiny'!BB46</f>
        <v>3.576</v>
      </c>
      <c r="H46" s="133"/>
      <c r="I46" s="133">
        <f t="shared" si="3"/>
        <v>60.576</v>
      </c>
      <c r="J46" s="128">
        <f t="shared" si="2"/>
        <v>0.007112384756449313</v>
      </c>
      <c r="K46" s="80"/>
      <c r="L46" s="81"/>
      <c r="M46" s="80"/>
      <c r="N46" s="81"/>
      <c r="O46" s="133"/>
      <c r="P46" s="133"/>
      <c r="Q46" s="133"/>
      <c r="R46" s="133" t="s">
        <v>470</v>
      </c>
      <c r="S46" s="133"/>
      <c r="T46" s="133"/>
      <c r="U46" s="133" t="s">
        <v>468</v>
      </c>
      <c r="V46" s="133"/>
      <c r="W46" s="133"/>
      <c r="X46" s="133">
        <v>1</v>
      </c>
      <c r="Y46" s="145" t="s">
        <v>131</v>
      </c>
    </row>
    <row r="47" spans="1:25" ht="15">
      <c r="A47" s="89" t="s">
        <v>108</v>
      </c>
      <c r="B47" s="146" t="s">
        <v>135</v>
      </c>
      <c r="C47" s="133"/>
      <c r="D47" s="133"/>
      <c r="E47" s="133"/>
      <c r="F47" s="133"/>
      <c r="G47" s="154">
        <f>'Spotřeba elektřiny'!BB47</f>
        <v>0.216</v>
      </c>
      <c r="H47" s="133"/>
      <c r="I47" s="133">
        <f t="shared" si="3"/>
        <v>0.216</v>
      </c>
      <c r="J47" s="128">
        <f t="shared" si="2"/>
        <v>2.5361118386705156E-05</v>
      </c>
      <c r="K47" s="80"/>
      <c r="L47" s="81"/>
      <c r="M47" s="80"/>
      <c r="N47" s="81"/>
      <c r="O47" s="133"/>
      <c r="P47" s="133"/>
      <c r="Q47" s="133"/>
      <c r="R47" s="133"/>
      <c r="S47" s="133"/>
      <c r="T47" s="133"/>
      <c r="U47" s="133" t="s">
        <v>468</v>
      </c>
      <c r="V47" s="133"/>
      <c r="W47" s="133"/>
      <c r="X47" s="133">
        <v>1</v>
      </c>
      <c r="Y47" s="145" t="s">
        <v>134</v>
      </c>
    </row>
    <row r="48" spans="1:25" ht="15">
      <c r="A48" s="89" t="s">
        <v>82</v>
      </c>
      <c r="B48" s="146" t="s">
        <v>137</v>
      </c>
      <c r="C48" s="133" t="s">
        <v>448</v>
      </c>
      <c r="D48" s="133" t="s">
        <v>449</v>
      </c>
      <c r="E48" s="133"/>
      <c r="F48" s="133"/>
      <c r="G48" s="154">
        <f>'Spotřeba elektřiny'!BB48</f>
        <v>1.713</v>
      </c>
      <c r="H48" s="133"/>
      <c r="I48" s="133">
        <f t="shared" si="3"/>
        <v>1.713</v>
      </c>
      <c r="J48" s="128">
        <f t="shared" si="2"/>
        <v>0.00020112775831678672</v>
      </c>
      <c r="K48" s="80"/>
      <c r="L48" s="81"/>
      <c r="M48" s="80"/>
      <c r="N48" s="81"/>
      <c r="O48" s="133"/>
      <c r="P48" s="133"/>
      <c r="Q48" s="133"/>
      <c r="R48" s="133"/>
      <c r="S48" s="133"/>
      <c r="T48" s="133"/>
      <c r="U48" s="133" t="s">
        <v>468</v>
      </c>
      <c r="V48" s="133"/>
      <c r="W48" s="133"/>
      <c r="X48" s="133">
        <v>1</v>
      </c>
      <c r="Y48" s="145" t="s">
        <v>136</v>
      </c>
    </row>
    <row r="49" spans="1:25" ht="15">
      <c r="A49" s="89" t="s">
        <v>108</v>
      </c>
      <c r="B49" s="146" t="s">
        <v>139</v>
      </c>
      <c r="C49" s="133"/>
      <c r="D49" s="133"/>
      <c r="E49" s="133"/>
      <c r="F49" s="133"/>
      <c r="G49" s="154">
        <f>'Spotřeba elektřiny'!BB49</f>
        <v>0</v>
      </c>
      <c r="H49" s="133"/>
      <c r="I49" s="133">
        <f t="shared" si="3"/>
        <v>0</v>
      </c>
      <c r="J49" s="128">
        <f t="shared" si="2"/>
        <v>0</v>
      </c>
      <c r="K49" s="80"/>
      <c r="L49" s="81"/>
      <c r="M49" s="80"/>
      <c r="N49" s="81"/>
      <c r="O49" s="133"/>
      <c r="P49" s="133"/>
      <c r="Q49" s="133"/>
      <c r="R49" s="133"/>
      <c r="S49" s="133"/>
      <c r="T49" s="133"/>
      <c r="U49" s="133" t="s">
        <v>468</v>
      </c>
      <c r="V49" s="133"/>
      <c r="W49" s="133"/>
      <c r="X49" s="133">
        <v>1</v>
      </c>
      <c r="Y49" s="145" t="s">
        <v>138</v>
      </c>
    </row>
    <row r="50" spans="1:25" ht="15">
      <c r="A50" s="89" t="s">
        <v>108</v>
      </c>
      <c r="B50" s="146" t="s">
        <v>141</v>
      </c>
      <c r="C50" s="133"/>
      <c r="D50" s="133"/>
      <c r="E50" s="133"/>
      <c r="F50" s="133"/>
      <c r="G50" s="154">
        <f>'Spotřeba elektřiny'!BB50</f>
        <v>0</v>
      </c>
      <c r="H50" s="133"/>
      <c r="I50" s="133">
        <f t="shared" si="3"/>
        <v>0</v>
      </c>
      <c r="J50" s="128">
        <f t="shared" si="2"/>
        <v>0</v>
      </c>
      <c r="K50" s="80"/>
      <c r="L50" s="81"/>
      <c r="M50" s="80"/>
      <c r="N50" s="81"/>
      <c r="O50" s="133"/>
      <c r="P50" s="133"/>
      <c r="Q50" s="133"/>
      <c r="R50" s="133"/>
      <c r="S50" s="133"/>
      <c r="T50" s="133"/>
      <c r="U50" s="133" t="s">
        <v>468</v>
      </c>
      <c r="V50" s="133"/>
      <c r="W50" s="133"/>
      <c r="X50" s="133">
        <v>1</v>
      </c>
      <c r="Y50" s="145" t="s">
        <v>140</v>
      </c>
    </row>
    <row r="51" spans="1:25" ht="15">
      <c r="A51" s="89" t="s">
        <v>108</v>
      </c>
      <c r="B51" s="146" t="s">
        <v>143</v>
      </c>
      <c r="C51" s="133"/>
      <c r="D51" s="133"/>
      <c r="E51" s="133"/>
      <c r="F51" s="133"/>
      <c r="G51" s="154">
        <f>'Spotřeba elektřiny'!BB51</f>
        <v>0.01</v>
      </c>
      <c r="H51" s="133"/>
      <c r="I51" s="133">
        <f t="shared" si="3"/>
        <v>0.01</v>
      </c>
      <c r="J51" s="128">
        <f t="shared" si="2"/>
        <v>1.17412585123635E-06</v>
      </c>
      <c r="K51" s="80"/>
      <c r="L51" s="81"/>
      <c r="M51" s="80"/>
      <c r="N51" s="81"/>
      <c r="O51" s="133"/>
      <c r="P51" s="133"/>
      <c r="Q51" s="133"/>
      <c r="R51" s="133"/>
      <c r="S51" s="133"/>
      <c r="T51" s="133"/>
      <c r="U51" s="133" t="s">
        <v>468</v>
      </c>
      <c r="V51" s="133"/>
      <c r="W51" s="133"/>
      <c r="X51" s="133">
        <v>1</v>
      </c>
      <c r="Y51" s="145" t="s">
        <v>142</v>
      </c>
    </row>
    <row r="52" spans="1:25" ht="15">
      <c r="A52" s="89" t="s">
        <v>108</v>
      </c>
      <c r="B52" s="146" t="s">
        <v>145</v>
      </c>
      <c r="C52" s="133"/>
      <c r="D52" s="133"/>
      <c r="E52" s="133"/>
      <c r="F52" s="133"/>
      <c r="G52" s="154">
        <f>'Spotřeba elektřiny'!BB52</f>
        <v>1.672</v>
      </c>
      <c r="H52" s="133"/>
      <c r="I52" s="133">
        <f t="shared" si="3"/>
        <v>1.672</v>
      </c>
      <c r="J52" s="128">
        <f t="shared" si="2"/>
        <v>0.0001963138423267177</v>
      </c>
      <c r="K52" s="80"/>
      <c r="L52" s="81"/>
      <c r="M52" s="80"/>
      <c r="N52" s="81"/>
      <c r="O52" s="133"/>
      <c r="P52" s="133"/>
      <c r="Q52" s="133"/>
      <c r="R52" s="133"/>
      <c r="S52" s="133"/>
      <c r="T52" s="133"/>
      <c r="U52" s="133" t="s">
        <v>468</v>
      </c>
      <c r="V52" s="133"/>
      <c r="W52" s="133"/>
      <c r="X52" s="133">
        <v>1</v>
      </c>
      <c r="Y52" s="145" t="s">
        <v>144</v>
      </c>
    </row>
    <row r="53" spans="1:25" ht="15">
      <c r="A53" s="89" t="s">
        <v>147</v>
      </c>
      <c r="B53" s="146" t="s">
        <v>148</v>
      </c>
      <c r="C53" s="133" t="s">
        <v>448</v>
      </c>
      <c r="D53" s="133" t="s">
        <v>461</v>
      </c>
      <c r="E53" s="133">
        <f>'Spotřeba tepla'!BB53/3.6</f>
        <v>18.88888888888889</v>
      </c>
      <c r="F53" s="133">
        <f>'Spotřeba zemního plynu'!BB53</f>
        <v>25</v>
      </c>
      <c r="G53" s="154">
        <f>'Spotřeba elektřiny'!BB53</f>
        <v>0.411</v>
      </c>
      <c r="H53" s="133"/>
      <c r="I53" s="133">
        <f t="shared" si="3"/>
        <v>19.29988888888889</v>
      </c>
      <c r="J53" s="128">
        <f t="shared" si="2"/>
        <v>0.002266049847043364</v>
      </c>
      <c r="K53" s="80"/>
      <c r="L53" s="81"/>
      <c r="M53" s="80"/>
      <c r="N53" s="81"/>
      <c r="O53" s="133"/>
      <c r="P53" s="133"/>
      <c r="Q53" s="133"/>
      <c r="R53" s="133" t="s">
        <v>470</v>
      </c>
      <c r="S53" s="133"/>
      <c r="T53" s="133"/>
      <c r="U53" s="133" t="s">
        <v>468</v>
      </c>
      <c r="V53" s="133"/>
      <c r="W53" s="133"/>
      <c r="X53" s="133">
        <v>1</v>
      </c>
      <c r="Y53" s="145" t="s">
        <v>146</v>
      </c>
    </row>
    <row r="54" spans="1:25" ht="15">
      <c r="A54" s="89" t="s">
        <v>108</v>
      </c>
      <c r="B54" s="146" t="s">
        <v>150</v>
      </c>
      <c r="C54" s="133"/>
      <c r="D54" s="133"/>
      <c r="E54" s="133"/>
      <c r="F54" s="133"/>
      <c r="G54" s="154">
        <f>'Spotřeba elektřiny'!BB54</f>
        <v>0.885</v>
      </c>
      <c r="H54" s="133"/>
      <c r="I54" s="133">
        <f t="shared" si="3"/>
        <v>0.885</v>
      </c>
      <c r="J54" s="128">
        <f t="shared" si="2"/>
        <v>0.00010391013783441696</v>
      </c>
      <c r="K54" s="80"/>
      <c r="L54" s="81"/>
      <c r="M54" s="80"/>
      <c r="N54" s="81"/>
      <c r="O54" s="133"/>
      <c r="P54" s="133"/>
      <c r="Q54" s="133"/>
      <c r="R54" s="133"/>
      <c r="S54" s="133"/>
      <c r="T54" s="133"/>
      <c r="U54" s="133" t="s">
        <v>468</v>
      </c>
      <c r="V54" s="133"/>
      <c r="W54" s="133"/>
      <c r="X54" s="133">
        <v>1</v>
      </c>
      <c r="Y54" s="145" t="s">
        <v>149</v>
      </c>
    </row>
    <row r="55" spans="1:25" ht="15">
      <c r="A55" s="89" t="s">
        <v>108</v>
      </c>
      <c r="B55" s="146" t="s">
        <v>152</v>
      </c>
      <c r="C55" s="133"/>
      <c r="D55" s="133"/>
      <c r="E55" s="133"/>
      <c r="F55" s="133"/>
      <c r="G55" s="154">
        <f>'Spotřeba elektřiny'!BB55</f>
        <v>0.002</v>
      </c>
      <c r="H55" s="133"/>
      <c r="I55" s="133">
        <f t="shared" si="3"/>
        <v>0.002</v>
      </c>
      <c r="J55" s="128">
        <f t="shared" si="2"/>
        <v>2.3482517024726998E-07</v>
      </c>
      <c r="K55" s="80"/>
      <c r="L55" s="81"/>
      <c r="M55" s="80"/>
      <c r="N55" s="81"/>
      <c r="O55" s="133"/>
      <c r="P55" s="133"/>
      <c r="Q55" s="133"/>
      <c r="R55" s="133"/>
      <c r="S55" s="133"/>
      <c r="T55" s="133"/>
      <c r="U55" s="133" t="s">
        <v>468</v>
      </c>
      <c r="V55" s="133"/>
      <c r="W55" s="133"/>
      <c r="X55" s="133">
        <v>1</v>
      </c>
      <c r="Y55" s="145" t="s">
        <v>151</v>
      </c>
    </row>
    <row r="56" spans="1:25" ht="28.8">
      <c r="A56" s="89" t="s">
        <v>132</v>
      </c>
      <c r="B56" s="146" t="s">
        <v>154</v>
      </c>
      <c r="C56" s="133" t="s">
        <v>448</v>
      </c>
      <c r="D56" s="133" t="s">
        <v>449</v>
      </c>
      <c r="E56" s="133">
        <f>'Spotřeba tepla'!BB56/3.6</f>
        <v>81.66666666666667</v>
      </c>
      <c r="F56" s="133"/>
      <c r="G56" s="154">
        <f>'Spotřeba elektřiny'!BB56</f>
        <v>6.0760000000000005</v>
      </c>
      <c r="H56" s="133"/>
      <c r="I56" s="133">
        <f t="shared" si="3"/>
        <v>87.74266666666668</v>
      </c>
      <c r="J56" s="128">
        <f t="shared" si="2"/>
        <v>0.010302093318974732</v>
      </c>
      <c r="K56" s="80"/>
      <c r="L56" s="81"/>
      <c r="M56" s="80"/>
      <c r="N56" s="81"/>
      <c r="O56" s="133"/>
      <c r="P56" s="133"/>
      <c r="Q56" s="133"/>
      <c r="R56" s="133" t="s">
        <v>471</v>
      </c>
      <c r="S56" s="133" t="s">
        <v>468</v>
      </c>
      <c r="T56" s="133" t="s">
        <v>468</v>
      </c>
      <c r="U56" s="133" t="s">
        <v>468</v>
      </c>
      <c r="V56" s="133"/>
      <c r="W56" s="133"/>
      <c r="X56" s="133">
        <v>2</v>
      </c>
      <c r="Y56" s="145" t="s">
        <v>153</v>
      </c>
    </row>
    <row r="57" spans="1:25" ht="15">
      <c r="A57" s="89" t="s">
        <v>82</v>
      </c>
      <c r="B57" s="146" t="s">
        <v>156</v>
      </c>
      <c r="C57" s="133" t="s">
        <v>448</v>
      </c>
      <c r="D57" s="133" t="s">
        <v>449</v>
      </c>
      <c r="E57" s="133"/>
      <c r="F57" s="133"/>
      <c r="G57" s="154">
        <f>'Spotřeba elektřiny'!BB57</f>
        <v>0</v>
      </c>
      <c r="H57" s="133"/>
      <c r="I57" s="133">
        <f t="shared" si="3"/>
        <v>0</v>
      </c>
      <c r="J57" s="128">
        <f t="shared" si="2"/>
        <v>0</v>
      </c>
      <c r="K57" s="80"/>
      <c r="L57" s="81"/>
      <c r="M57" s="80"/>
      <c r="N57" s="81"/>
      <c r="O57" s="133"/>
      <c r="P57" s="133"/>
      <c r="Q57" s="133"/>
      <c r="R57" s="133"/>
      <c r="S57" s="133"/>
      <c r="T57" s="133"/>
      <c r="U57" s="133" t="s">
        <v>468</v>
      </c>
      <c r="V57" s="133"/>
      <c r="W57" s="133"/>
      <c r="X57" s="133">
        <v>1</v>
      </c>
      <c r="Y57" s="145" t="s">
        <v>155</v>
      </c>
    </row>
    <row r="58" spans="1:25" ht="15">
      <c r="A58" s="89" t="s">
        <v>108</v>
      </c>
      <c r="B58" s="146" t="s">
        <v>158</v>
      </c>
      <c r="C58" s="133"/>
      <c r="D58" s="133"/>
      <c r="E58" s="133"/>
      <c r="F58" s="133"/>
      <c r="G58" s="154">
        <f>'Spotřeba elektřiny'!BB58</f>
        <v>0</v>
      </c>
      <c r="H58" s="133"/>
      <c r="I58" s="133">
        <f t="shared" si="3"/>
        <v>0</v>
      </c>
      <c r="J58" s="128">
        <f t="shared" si="2"/>
        <v>0</v>
      </c>
      <c r="K58" s="80"/>
      <c r="L58" s="81"/>
      <c r="M58" s="80"/>
      <c r="N58" s="81"/>
      <c r="O58" s="133"/>
      <c r="P58" s="133"/>
      <c r="Q58" s="133"/>
      <c r="R58" s="133"/>
      <c r="S58" s="133"/>
      <c r="T58" s="133"/>
      <c r="U58" s="133" t="s">
        <v>468</v>
      </c>
      <c r="V58" s="133"/>
      <c r="W58" s="133"/>
      <c r="X58" s="133">
        <v>1</v>
      </c>
      <c r="Y58" s="145" t="s">
        <v>157</v>
      </c>
    </row>
    <row r="59" spans="1:25" ht="15">
      <c r="A59" s="89" t="s">
        <v>108</v>
      </c>
      <c r="B59" s="146" t="s">
        <v>160</v>
      </c>
      <c r="C59" s="133"/>
      <c r="D59" s="133"/>
      <c r="E59" s="133"/>
      <c r="F59" s="133"/>
      <c r="G59" s="154">
        <f>'Spotřeba elektřiny'!BB59</f>
        <v>2.026</v>
      </c>
      <c r="H59" s="133"/>
      <c r="I59" s="133">
        <f t="shared" si="3"/>
        <v>2.026</v>
      </c>
      <c r="J59" s="128">
        <f t="shared" si="2"/>
        <v>0.00023787789746048445</v>
      </c>
      <c r="K59" s="80"/>
      <c r="L59" s="81"/>
      <c r="M59" s="80"/>
      <c r="N59" s="81"/>
      <c r="O59" s="133"/>
      <c r="P59" s="133"/>
      <c r="Q59" s="133"/>
      <c r="R59" s="133"/>
      <c r="S59" s="133"/>
      <c r="T59" s="133"/>
      <c r="U59" s="133" t="s">
        <v>468</v>
      </c>
      <c r="V59" s="133"/>
      <c r="W59" s="133"/>
      <c r="X59" s="133">
        <v>1</v>
      </c>
      <c r="Y59" s="145" t="s">
        <v>159</v>
      </c>
    </row>
    <row r="60" spans="1:25" ht="15">
      <c r="A60" s="89" t="s">
        <v>108</v>
      </c>
      <c r="B60" s="146" t="s">
        <v>162</v>
      </c>
      <c r="C60" s="133"/>
      <c r="D60" s="133"/>
      <c r="E60" s="133"/>
      <c r="F60" s="133"/>
      <c r="G60" s="154">
        <f>'Spotřeba elektřiny'!BB60</f>
        <v>0.391</v>
      </c>
      <c r="H60" s="133"/>
      <c r="I60" s="133">
        <f t="shared" si="3"/>
        <v>0.391</v>
      </c>
      <c r="J60" s="128">
        <f t="shared" si="2"/>
        <v>4.590832078334128E-05</v>
      </c>
      <c r="K60" s="80"/>
      <c r="L60" s="81"/>
      <c r="M60" s="80"/>
      <c r="N60" s="81"/>
      <c r="O60" s="133"/>
      <c r="P60" s="133"/>
      <c r="Q60" s="133"/>
      <c r="R60" s="133"/>
      <c r="S60" s="133"/>
      <c r="T60" s="133"/>
      <c r="U60" s="133" t="s">
        <v>468</v>
      </c>
      <c r="V60" s="133"/>
      <c r="W60" s="133"/>
      <c r="X60" s="133">
        <v>1</v>
      </c>
      <c r="Y60" s="145" t="s">
        <v>161</v>
      </c>
    </row>
    <row r="61" spans="1:25" ht="15">
      <c r="A61" s="89" t="s">
        <v>108</v>
      </c>
      <c r="B61" s="146" t="s">
        <v>164</v>
      </c>
      <c r="C61" s="133"/>
      <c r="D61" s="133"/>
      <c r="E61" s="133"/>
      <c r="F61" s="133"/>
      <c r="G61" s="154">
        <f>'Spotřeba elektřiny'!BB61</f>
        <v>0.12100000000000001</v>
      </c>
      <c r="H61" s="133"/>
      <c r="I61" s="133">
        <f t="shared" si="3"/>
        <v>0.12100000000000001</v>
      </c>
      <c r="J61" s="128">
        <f t="shared" si="2"/>
        <v>1.4206922799959835E-05</v>
      </c>
      <c r="K61" s="80"/>
      <c r="L61" s="81"/>
      <c r="M61" s="80"/>
      <c r="N61" s="81"/>
      <c r="O61" s="133"/>
      <c r="P61" s="133"/>
      <c r="Q61" s="133"/>
      <c r="R61" s="133"/>
      <c r="S61" s="133"/>
      <c r="T61" s="133"/>
      <c r="U61" s="133" t="s">
        <v>468</v>
      </c>
      <c r="V61" s="133"/>
      <c r="W61" s="133"/>
      <c r="X61" s="133">
        <v>1</v>
      </c>
      <c r="Y61" s="145" t="s">
        <v>163</v>
      </c>
    </row>
    <row r="62" spans="1:25" ht="15">
      <c r="A62" s="89" t="s">
        <v>108</v>
      </c>
      <c r="B62" s="146" t="s">
        <v>166</v>
      </c>
      <c r="C62" s="133"/>
      <c r="D62" s="133"/>
      <c r="E62" s="133"/>
      <c r="F62" s="133"/>
      <c r="G62" s="154">
        <f>'Spotřeba elektřiny'!BB62</f>
        <v>0.552</v>
      </c>
      <c r="H62" s="133"/>
      <c r="I62" s="133">
        <f t="shared" si="3"/>
        <v>0.552</v>
      </c>
      <c r="J62" s="128">
        <f t="shared" si="2"/>
        <v>6.481174698824651E-05</v>
      </c>
      <c r="K62" s="80"/>
      <c r="L62" s="81"/>
      <c r="M62" s="80"/>
      <c r="N62" s="81"/>
      <c r="O62" s="133"/>
      <c r="P62" s="133"/>
      <c r="Q62" s="133"/>
      <c r="R62" s="133"/>
      <c r="S62" s="133"/>
      <c r="T62" s="133"/>
      <c r="U62" s="133" t="s">
        <v>468</v>
      </c>
      <c r="V62" s="133"/>
      <c r="W62" s="133"/>
      <c r="X62" s="133">
        <v>1</v>
      </c>
      <c r="Y62" s="145" t="s">
        <v>165</v>
      </c>
    </row>
    <row r="63" spans="1:25" ht="15">
      <c r="A63" s="89" t="s">
        <v>108</v>
      </c>
      <c r="B63" s="146" t="s">
        <v>168</v>
      </c>
      <c r="C63" s="133"/>
      <c r="D63" s="133"/>
      <c r="E63" s="133"/>
      <c r="F63" s="133"/>
      <c r="G63" s="154">
        <f>'Spotřeba elektřiny'!BB63</f>
        <v>0</v>
      </c>
      <c r="H63" s="133"/>
      <c r="I63" s="133">
        <f t="shared" si="3"/>
        <v>0</v>
      </c>
      <c r="J63" s="128">
        <f t="shared" si="2"/>
        <v>0</v>
      </c>
      <c r="K63" s="80"/>
      <c r="L63" s="81"/>
      <c r="M63" s="80"/>
      <c r="N63" s="81"/>
      <c r="O63" s="133"/>
      <c r="P63" s="133"/>
      <c r="Q63" s="133"/>
      <c r="R63" s="133"/>
      <c r="S63" s="133"/>
      <c r="T63" s="133"/>
      <c r="U63" s="133" t="s">
        <v>468</v>
      </c>
      <c r="V63" s="133"/>
      <c r="W63" s="133"/>
      <c r="X63" s="133">
        <v>1</v>
      </c>
      <c r="Y63" s="145" t="s">
        <v>167</v>
      </c>
    </row>
    <row r="64" spans="1:25" ht="15">
      <c r="A64" s="89" t="s">
        <v>108</v>
      </c>
      <c r="B64" s="146" t="s">
        <v>170</v>
      </c>
      <c r="C64" s="133"/>
      <c r="D64" s="133"/>
      <c r="E64" s="133"/>
      <c r="F64" s="133"/>
      <c r="G64" s="154">
        <f>'Spotřeba elektřiny'!BB64</f>
        <v>0.322</v>
      </c>
      <c r="H64" s="133"/>
      <c r="I64" s="133">
        <f t="shared" si="3"/>
        <v>0.322</v>
      </c>
      <c r="J64" s="128">
        <f t="shared" si="2"/>
        <v>3.7806852409810465E-05</v>
      </c>
      <c r="K64" s="80"/>
      <c r="L64" s="81"/>
      <c r="M64" s="80"/>
      <c r="N64" s="81"/>
      <c r="O64" s="133"/>
      <c r="P64" s="133"/>
      <c r="Q64" s="133"/>
      <c r="R64" s="133"/>
      <c r="S64" s="133"/>
      <c r="T64" s="133"/>
      <c r="U64" s="133" t="s">
        <v>468</v>
      </c>
      <c r="V64" s="133"/>
      <c r="W64" s="133"/>
      <c r="X64" s="133">
        <v>1</v>
      </c>
      <c r="Y64" s="145" t="s">
        <v>169</v>
      </c>
    </row>
    <row r="65" spans="1:25" ht="15">
      <c r="A65" s="89" t="s">
        <v>108</v>
      </c>
      <c r="B65" s="146" t="s">
        <v>172</v>
      </c>
      <c r="C65" s="133"/>
      <c r="D65" s="133"/>
      <c r="E65" s="133"/>
      <c r="F65" s="133"/>
      <c r="G65" s="154">
        <f>'Spotřeba elektřiny'!BB65</f>
        <v>0.1</v>
      </c>
      <c r="H65" s="133"/>
      <c r="I65" s="133">
        <f t="shared" si="3"/>
        <v>0.1</v>
      </c>
      <c r="J65" s="128">
        <f t="shared" si="2"/>
        <v>1.1741258512363498E-05</v>
      </c>
      <c r="K65" s="80"/>
      <c r="L65" s="81"/>
      <c r="M65" s="80"/>
      <c r="N65" s="81"/>
      <c r="O65" s="133"/>
      <c r="P65" s="133"/>
      <c r="Q65" s="133"/>
      <c r="R65" s="133"/>
      <c r="S65" s="133"/>
      <c r="T65" s="133"/>
      <c r="U65" s="133" t="s">
        <v>468</v>
      </c>
      <c r="V65" s="133"/>
      <c r="W65" s="133"/>
      <c r="X65" s="133">
        <v>1</v>
      </c>
      <c r="Y65" s="145" t="s">
        <v>171</v>
      </c>
    </row>
    <row r="66" spans="1:25" ht="15">
      <c r="A66" s="89" t="s">
        <v>44</v>
      </c>
      <c r="B66" s="146" t="s">
        <v>174</v>
      </c>
      <c r="C66" s="133"/>
      <c r="D66" s="133"/>
      <c r="E66" s="133"/>
      <c r="F66" s="133"/>
      <c r="G66" s="154">
        <f>'Spotřeba elektřiny'!BB66</f>
        <v>0.08600000000000001</v>
      </c>
      <c r="H66" s="133"/>
      <c r="I66" s="133">
        <f t="shared" si="3"/>
        <v>0.08600000000000001</v>
      </c>
      <c r="J66" s="128">
        <f t="shared" si="2"/>
        <v>1.009748232063261E-05</v>
      </c>
      <c r="K66" s="80"/>
      <c r="L66" s="81"/>
      <c r="M66" s="80"/>
      <c r="N66" s="81"/>
      <c r="O66" s="133"/>
      <c r="P66" s="133"/>
      <c r="Q66" s="133"/>
      <c r="R66" s="133"/>
      <c r="S66" s="133"/>
      <c r="T66" s="133"/>
      <c r="U66" s="133" t="s">
        <v>468</v>
      </c>
      <c r="V66" s="133"/>
      <c r="W66" s="133"/>
      <c r="X66" s="133">
        <v>1</v>
      </c>
      <c r="Y66" s="145" t="s">
        <v>173</v>
      </c>
    </row>
    <row r="67" spans="1:25" ht="15">
      <c r="A67" s="89" t="s">
        <v>108</v>
      </c>
      <c r="B67" s="146" t="s">
        <v>176</v>
      </c>
      <c r="C67" s="133"/>
      <c r="D67" s="133"/>
      <c r="E67" s="133"/>
      <c r="F67" s="133"/>
      <c r="G67" s="154">
        <f>'Spotřeba elektřiny'!BB67</f>
        <v>0.65</v>
      </c>
      <c r="H67" s="133"/>
      <c r="I67" s="133">
        <f t="shared" si="3"/>
        <v>0.65</v>
      </c>
      <c r="J67" s="128">
        <f t="shared" si="2"/>
        <v>7.631818033036274E-05</v>
      </c>
      <c r="K67" s="80"/>
      <c r="L67" s="81"/>
      <c r="M67" s="80"/>
      <c r="N67" s="81"/>
      <c r="O67" s="133"/>
      <c r="P67" s="133"/>
      <c r="Q67" s="133"/>
      <c r="R67" s="133"/>
      <c r="S67" s="133"/>
      <c r="T67" s="133"/>
      <c r="U67" s="133" t="s">
        <v>468</v>
      </c>
      <c r="V67" s="133"/>
      <c r="W67" s="133"/>
      <c r="X67" s="133">
        <v>1</v>
      </c>
      <c r="Y67" s="145" t="s">
        <v>175</v>
      </c>
    </row>
    <row r="68" spans="1:25" ht="15">
      <c r="A68" s="89" t="s">
        <v>44</v>
      </c>
      <c r="B68" s="146" t="s">
        <v>178</v>
      </c>
      <c r="C68" s="133"/>
      <c r="D68" s="133"/>
      <c r="E68" s="133"/>
      <c r="F68" s="133"/>
      <c r="G68" s="154">
        <f>'Spotřeba elektřiny'!BB68</f>
        <v>0.207</v>
      </c>
      <c r="H68" s="133"/>
      <c r="I68" s="133">
        <f t="shared" si="3"/>
        <v>0.207</v>
      </c>
      <c r="J68" s="128">
        <f aca="true" t="shared" si="4" ref="J68:J95">I68/$I$179</f>
        <v>2.430440512059244E-05</v>
      </c>
      <c r="K68" s="80"/>
      <c r="L68" s="81"/>
      <c r="M68" s="80"/>
      <c r="N68" s="81"/>
      <c r="O68" s="133"/>
      <c r="P68" s="133"/>
      <c r="Q68" s="133"/>
      <c r="R68" s="133"/>
      <c r="S68" s="133"/>
      <c r="T68" s="133"/>
      <c r="U68" s="133" t="s">
        <v>468</v>
      </c>
      <c r="V68" s="133"/>
      <c r="W68" s="133"/>
      <c r="X68" s="133">
        <v>1</v>
      </c>
      <c r="Y68" s="145" t="s">
        <v>177</v>
      </c>
    </row>
    <row r="69" spans="1:25" ht="15">
      <c r="A69" s="89" t="s">
        <v>108</v>
      </c>
      <c r="B69" s="146" t="s">
        <v>180</v>
      </c>
      <c r="C69" s="133"/>
      <c r="D69" s="133"/>
      <c r="E69" s="133"/>
      <c r="F69" s="133"/>
      <c r="G69" s="154">
        <f>'Spotřeba elektřiny'!BB69</f>
        <v>1.005</v>
      </c>
      <c r="H69" s="133"/>
      <c r="I69" s="133">
        <f t="shared" si="3"/>
        <v>1.005</v>
      </c>
      <c r="J69" s="128">
        <f t="shared" si="4"/>
        <v>0.00011799964804925314</v>
      </c>
      <c r="K69" s="80"/>
      <c r="L69" s="81"/>
      <c r="M69" s="80"/>
      <c r="N69" s="81"/>
      <c r="O69" s="133"/>
      <c r="P69" s="133"/>
      <c r="Q69" s="133"/>
      <c r="R69" s="133"/>
      <c r="S69" s="133"/>
      <c r="T69" s="133"/>
      <c r="U69" s="133" t="s">
        <v>468</v>
      </c>
      <c r="V69" s="133"/>
      <c r="W69" s="133"/>
      <c r="X69" s="133">
        <v>1</v>
      </c>
      <c r="Y69" s="145" t="s">
        <v>179</v>
      </c>
    </row>
    <row r="70" spans="1:25" ht="15">
      <c r="A70" s="89" t="s">
        <v>108</v>
      </c>
      <c r="B70" s="146" t="s">
        <v>182</v>
      </c>
      <c r="C70" s="133"/>
      <c r="D70" s="133"/>
      <c r="E70" s="133"/>
      <c r="F70" s="133"/>
      <c r="G70" s="154">
        <f>'Spotřeba elektřiny'!BB70</f>
        <v>0.5870000000000001</v>
      </c>
      <c r="H70" s="133"/>
      <c r="I70" s="133">
        <f t="shared" si="3"/>
        <v>0.5870000000000001</v>
      </c>
      <c r="J70" s="128">
        <f t="shared" si="4"/>
        <v>6.892118746757374E-05</v>
      </c>
      <c r="K70" s="80"/>
      <c r="L70" s="81"/>
      <c r="M70" s="80"/>
      <c r="N70" s="81"/>
      <c r="O70" s="133"/>
      <c r="P70" s="133"/>
      <c r="Q70" s="133"/>
      <c r="R70" s="133"/>
      <c r="S70" s="133"/>
      <c r="T70" s="133"/>
      <c r="U70" s="133" t="s">
        <v>468</v>
      </c>
      <c r="V70" s="133"/>
      <c r="W70" s="133"/>
      <c r="X70" s="133">
        <v>1</v>
      </c>
      <c r="Y70" s="145" t="s">
        <v>181</v>
      </c>
    </row>
    <row r="71" spans="1:25" ht="15">
      <c r="A71" s="89" t="s">
        <v>108</v>
      </c>
      <c r="B71" s="146" t="s">
        <v>184</v>
      </c>
      <c r="C71" s="133"/>
      <c r="D71" s="133"/>
      <c r="E71" s="133"/>
      <c r="F71" s="133"/>
      <c r="G71" s="154">
        <f>'Spotřeba elektřiny'!BB71</f>
        <v>0</v>
      </c>
      <c r="H71" s="133"/>
      <c r="I71" s="133">
        <f t="shared" si="3"/>
        <v>0</v>
      </c>
      <c r="J71" s="128">
        <f t="shared" si="4"/>
        <v>0</v>
      </c>
      <c r="K71" s="80"/>
      <c r="L71" s="81"/>
      <c r="M71" s="80"/>
      <c r="N71" s="81"/>
      <c r="O71" s="133"/>
      <c r="P71" s="133"/>
      <c r="Q71" s="133"/>
      <c r="R71" s="133"/>
      <c r="S71" s="133"/>
      <c r="T71" s="133"/>
      <c r="U71" s="133" t="s">
        <v>468</v>
      </c>
      <c r="V71" s="133"/>
      <c r="W71" s="133"/>
      <c r="X71" s="133">
        <v>1</v>
      </c>
      <c r="Y71" s="145" t="s">
        <v>183</v>
      </c>
    </row>
    <row r="72" spans="1:25" ht="15">
      <c r="A72" s="89" t="s">
        <v>108</v>
      </c>
      <c r="B72" s="146" t="s">
        <v>186</v>
      </c>
      <c r="C72" s="133"/>
      <c r="D72" s="133"/>
      <c r="E72" s="133"/>
      <c r="F72" s="133"/>
      <c r="G72" s="154">
        <f>'Spotřeba elektřiny'!BB72</f>
        <v>0</v>
      </c>
      <c r="H72" s="133"/>
      <c r="I72" s="133">
        <f aca="true" t="shared" si="5" ref="I72:I94">G72+IF(E72&gt;0,E72,F72)</f>
        <v>0</v>
      </c>
      <c r="J72" s="128">
        <f t="shared" si="4"/>
        <v>0</v>
      </c>
      <c r="K72" s="80"/>
      <c r="L72" s="81"/>
      <c r="M72" s="80"/>
      <c r="N72" s="81"/>
      <c r="O72" s="133"/>
      <c r="P72" s="133"/>
      <c r="Q72" s="133"/>
      <c r="R72" s="133"/>
      <c r="S72" s="133"/>
      <c r="T72" s="133"/>
      <c r="U72" s="133" t="s">
        <v>468</v>
      </c>
      <c r="V72" s="133"/>
      <c r="W72" s="133"/>
      <c r="X72" s="133">
        <v>1</v>
      </c>
      <c r="Y72" s="145" t="s">
        <v>185</v>
      </c>
    </row>
    <row r="73" spans="1:25" ht="15">
      <c r="A73" s="89" t="s">
        <v>44</v>
      </c>
      <c r="B73" s="146" t="s">
        <v>188</v>
      </c>
      <c r="C73" s="133"/>
      <c r="D73" s="133"/>
      <c r="E73" s="133"/>
      <c r="F73" s="133"/>
      <c r="G73" s="154">
        <f>'Spotřeba elektřiny'!BB73</f>
        <v>0.053</v>
      </c>
      <c r="H73" s="133"/>
      <c r="I73" s="133">
        <f t="shared" si="5"/>
        <v>0.053</v>
      </c>
      <c r="J73" s="128">
        <f t="shared" si="4"/>
        <v>6.222867011552654E-06</v>
      </c>
      <c r="K73" s="80"/>
      <c r="L73" s="81"/>
      <c r="M73" s="80"/>
      <c r="N73" s="81"/>
      <c r="O73" s="133"/>
      <c r="P73" s="133"/>
      <c r="Q73" s="133"/>
      <c r="R73" s="133"/>
      <c r="S73" s="133"/>
      <c r="T73" s="133"/>
      <c r="U73" s="133" t="s">
        <v>468</v>
      </c>
      <c r="V73" s="133"/>
      <c r="W73" s="133"/>
      <c r="X73" s="133">
        <v>1</v>
      </c>
      <c r="Y73" s="145" t="s">
        <v>187</v>
      </c>
    </row>
    <row r="74" spans="1:25" ht="15">
      <c r="A74" s="89" t="s">
        <v>44</v>
      </c>
      <c r="B74" s="146" t="s">
        <v>190</v>
      </c>
      <c r="C74" s="133"/>
      <c r="D74" s="133"/>
      <c r="E74" s="133"/>
      <c r="F74" s="133"/>
      <c r="G74" s="154">
        <f>'Spotřeba elektřiny'!BB74</f>
        <v>0.043000000000000003</v>
      </c>
      <c r="H74" s="133"/>
      <c r="I74" s="133">
        <f t="shared" si="5"/>
        <v>0.043000000000000003</v>
      </c>
      <c r="J74" s="128">
        <f t="shared" si="4"/>
        <v>5.048741160316305E-06</v>
      </c>
      <c r="K74" s="80"/>
      <c r="L74" s="81"/>
      <c r="M74" s="80"/>
      <c r="N74" s="81"/>
      <c r="O74" s="133"/>
      <c r="P74" s="133"/>
      <c r="Q74" s="133"/>
      <c r="R74" s="133"/>
      <c r="S74" s="133"/>
      <c r="T74" s="133"/>
      <c r="U74" s="133" t="s">
        <v>468</v>
      </c>
      <c r="V74" s="133"/>
      <c r="W74" s="133"/>
      <c r="X74" s="133">
        <v>1</v>
      </c>
      <c r="Y74" s="145" t="s">
        <v>189</v>
      </c>
    </row>
    <row r="75" spans="1:25" ht="15">
      <c r="A75" s="89" t="s">
        <v>108</v>
      </c>
      <c r="B75" s="146" t="s">
        <v>192</v>
      </c>
      <c r="C75" s="133"/>
      <c r="D75" s="133"/>
      <c r="E75" s="133"/>
      <c r="F75" s="133"/>
      <c r="G75" s="154">
        <f>'Spotřeba elektřiny'!BB75</f>
        <v>0.277</v>
      </c>
      <c r="H75" s="133"/>
      <c r="I75" s="133">
        <f t="shared" si="5"/>
        <v>0.277</v>
      </c>
      <c r="J75" s="128">
        <f t="shared" si="4"/>
        <v>3.2523286079246894E-05</v>
      </c>
      <c r="K75" s="80"/>
      <c r="L75" s="81"/>
      <c r="M75" s="80"/>
      <c r="N75" s="81"/>
      <c r="O75" s="133"/>
      <c r="P75" s="133"/>
      <c r="Q75" s="133"/>
      <c r="R75" s="133"/>
      <c r="S75" s="133"/>
      <c r="T75" s="133"/>
      <c r="U75" s="133" t="s">
        <v>468</v>
      </c>
      <c r="V75" s="133"/>
      <c r="W75" s="133"/>
      <c r="X75" s="133">
        <v>1</v>
      </c>
      <c r="Y75" s="145" t="s">
        <v>191</v>
      </c>
    </row>
    <row r="76" spans="1:25" ht="15">
      <c r="A76" s="89" t="s">
        <v>44</v>
      </c>
      <c r="B76" s="146" t="s">
        <v>194</v>
      </c>
      <c r="C76" s="133"/>
      <c r="D76" s="133"/>
      <c r="E76" s="133"/>
      <c r="F76" s="133"/>
      <c r="G76" s="154">
        <f>'Spotřeba elektřiny'!BB76</f>
        <v>0.06099999999999999</v>
      </c>
      <c r="H76" s="133"/>
      <c r="I76" s="133">
        <f t="shared" si="5"/>
        <v>0.06099999999999999</v>
      </c>
      <c r="J76" s="128">
        <f t="shared" si="4"/>
        <v>7.162167692541733E-06</v>
      </c>
      <c r="K76" s="80"/>
      <c r="L76" s="81"/>
      <c r="M76" s="80"/>
      <c r="N76" s="81"/>
      <c r="O76" s="133"/>
      <c r="P76" s="133"/>
      <c r="Q76" s="133"/>
      <c r="R76" s="133"/>
      <c r="S76" s="133"/>
      <c r="T76" s="133"/>
      <c r="U76" s="133" t="s">
        <v>468</v>
      </c>
      <c r="V76" s="133"/>
      <c r="W76" s="133"/>
      <c r="X76" s="133">
        <v>1</v>
      </c>
      <c r="Y76" s="145" t="s">
        <v>193</v>
      </c>
    </row>
    <row r="77" spans="1:25" ht="15">
      <c r="A77" s="89" t="s">
        <v>44</v>
      </c>
      <c r="B77" s="146" t="s">
        <v>196</v>
      </c>
      <c r="C77" s="133"/>
      <c r="D77" s="133"/>
      <c r="E77" s="133"/>
      <c r="F77" s="133"/>
      <c r="G77" s="154">
        <f>'Spotřeba elektřiny'!BB77</f>
        <v>0.047</v>
      </c>
      <c r="H77" s="133"/>
      <c r="I77" s="133">
        <f t="shared" si="5"/>
        <v>0.047</v>
      </c>
      <c r="J77" s="128">
        <f t="shared" si="4"/>
        <v>5.518391500810844E-06</v>
      </c>
      <c r="K77" s="80"/>
      <c r="L77" s="81"/>
      <c r="M77" s="80"/>
      <c r="N77" s="81"/>
      <c r="O77" s="133"/>
      <c r="P77" s="133"/>
      <c r="Q77" s="133"/>
      <c r="R77" s="133"/>
      <c r="S77" s="133"/>
      <c r="T77" s="133"/>
      <c r="U77" s="133" t="s">
        <v>468</v>
      </c>
      <c r="V77" s="133"/>
      <c r="W77" s="133"/>
      <c r="X77" s="133">
        <v>1</v>
      </c>
      <c r="Y77" s="145" t="s">
        <v>195</v>
      </c>
    </row>
    <row r="78" spans="1:25" ht="15">
      <c r="A78" s="89" t="s">
        <v>44</v>
      </c>
      <c r="B78" s="146" t="s">
        <v>198</v>
      </c>
      <c r="C78" s="133"/>
      <c r="D78" s="133"/>
      <c r="E78" s="133"/>
      <c r="F78" s="133"/>
      <c r="G78" s="154">
        <f>'Spotřeba elektřiny'!BB78</f>
        <v>0.039</v>
      </c>
      <c r="H78" s="133"/>
      <c r="I78" s="133">
        <f t="shared" si="5"/>
        <v>0.039</v>
      </c>
      <c r="J78" s="128">
        <f t="shared" si="4"/>
        <v>4.579090819821764E-06</v>
      </c>
      <c r="K78" s="80"/>
      <c r="L78" s="81"/>
      <c r="M78" s="80"/>
      <c r="N78" s="81"/>
      <c r="O78" s="133"/>
      <c r="P78" s="133"/>
      <c r="Q78" s="133"/>
      <c r="R78" s="133"/>
      <c r="S78" s="133"/>
      <c r="T78" s="133"/>
      <c r="U78" s="133" t="s">
        <v>468</v>
      </c>
      <c r="V78" s="133"/>
      <c r="W78" s="133"/>
      <c r="X78" s="133">
        <v>1</v>
      </c>
      <c r="Y78" s="145" t="s">
        <v>197</v>
      </c>
    </row>
    <row r="79" spans="1:25" ht="15">
      <c r="A79" s="89" t="s">
        <v>44</v>
      </c>
      <c r="B79" s="146" t="s">
        <v>200</v>
      </c>
      <c r="C79" s="133"/>
      <c r="D79" s="133"/>
      <c r="E79" s="133"/>
      <c r="F79" s="133"/>
      <c r="G79" s="154">
        <f>'Spotřeba elektřiny'!BB79</f>
        <v>0.016</v>
      </c>
      <c r="H79" s="133"/>
      <c r="I79" s="133">
        <f t="shared" si="5"/>
        <v>0.016</v>
      </c>
      <c r="J79" s="128">
        <f t="shared" si="4"/>
        <v>1.8786013619781599E-06</v>
      </c>
      <c r="K79" s="80"/>
      <c r="L79" s="81"/>
      <c r="M79" s="80"/>
      <c r="N79" s="81"/>
      <c r="O79" s="133"/>
      <c r="P79" s="133"/>
      <c r="Q79" s="133"/>
      <c r="R79" s="133"/>
      <c r="S79" s="133"/>
      <c r="T79" s="133"/>
      <c r="U79" s="133" t="s">
        <v>468</v>
      </c>
      <c r="V79" s="133"/>
      <c r="W79" s="133"/>
      <c r="X79" s="133">
        <v>1</v>
      </c>
      <c r="Y79" s="145" t="s">
        <v>199</v>
      </c>
    </row>
    <row r="80" spans="1:25" ht="15">
      <c r="A80" s="89" t="s">
        <v>44</v>
      </c>
      <c r="B80" s="146" t="s">
        <v>202</v>
      </c>
      <c r="C80" s="133"/>
      <c r="D80" s="133"/>
      <c r="E80" s="133"/>
      <c r="F80" s="133"/>
      <c r="G80" s="154">
        <f>'Spotřeba elektřiny'!BB80</f>
        <v>0.04</v>
      </c>
      <c r="H80" s="133"/>
      <c r="I80" s="133">
        <f t="shared" si="5"/>
        <v>0.04</v>
      </c>
      <c r="J80" s="128">
        <f t="shared" si="4"/>
        <v>4.6965034049454E-06</v>
      </c>
      <c r="K80" s="80"/>
      <c r="L80" s="81"/>
      <c r="M80" s="80"/>
      <c r="N80" s="81"/>
      <c r="O80" s="133"/>
      <c r="P80" s="133"/>
      <c r="Q80" s="133"/>
      <c r="R80" s="133"/>
      <c r="S80" s="133"/>
      <c r="T80" s="133"/>
      <c r="U80" s="133" t="s">
        <v>468</v>
      </c>
      <c r="V80" s="133"/>
      <c r="W80" s="133"/>
      <c r="X80" s="133">
        <v>1</v>
      </c>
      <c r="Y80" s="145" t="s">
        <v>201</v>
      </c>
    </row>
    <row r="81" spans="1:25" ht="15">
      <c r="A81" s="89" t="s">
        <v>108</v>
      </c>
      <c r="B81" s="146" t="s">
        <v>204</v>
      </c>
      <c r="C81" s="133"/>
      <c r="D81" s="133"/>
      <c r="E81" s="133">
        <f>'Spotřeba tepla'!BB81/3.6</f>
        <v>11.666666666666666</v>
      </c>
      <c r="F81" s="133"/>
      <c r="G81" s="154">
        <f>'Spotřeba elektřiny'!BB81</f>
        <v>0.193</v>
      </c>
      <c r="H81" s="133"/>
      <c r="I81" s="133">
        <f t="shared" si="5"/>
        <v>11.859666666666666</v>
      </c>
      <c r="J81" s="128">
        <f t="shared" si="4"/>
        <v>0.0013924741220379363</v>
      </c>
      <c r="K81" s="80"/>
      <c r="L81" s="81"/>
      <c r="M81" s="80"/>
      <c r="N81" s="81"/>
      <c r="O81" s="133"/>
      <c r="P81" s="133"/>
      <c r="Q81" s="133"/>
      <c r="R81" s="133" t="s">
        <v>471</v>
      </c>
      <c r="S81" s="133"/>
      <c r="T81" s="133"/>
      <c r="U81" s="133" t="s">
        <v>468</v>
      </c>
      <c r="V81" s="133"/>
      <c r="W81" s="133"/>
      <c r="X81" s="133">
        <v>1</v>
      </c>
      <c r="Y81" s="145" t="s">
        <v>203</v>
      </c>
    </row>
    <row r="82" spans="1:25" ht="15">
      <c r="A82" s="89" t="s">
        <v>108</v>
      </c>
      <c r="B82" s="146" t="s">
        <v>206</v>
      </c>
      <c r="C82" s="133"/>
      <c r="D82" s="133"/>
      <c r="E82" s="133"/>
      <c r="F82" s="133"/>
      <c r="G82" s="154">
        <f>'Spotřeba elektřiny'!BB82</f>
        <v>0</v>
      </c>
      <c r="H82" s="133"/>
      <c r="I82" s="133">
        <f t="shared" si="5"/>
        <v>0</v>
      </c>
      <c r="J82" s="128">
        <f t="shared" si="4"/>
        <v>0</v>
      </c>
      <c r="K82" s="80"/>
      <c r="L82" s="81"/>
      <c r="M82" s="80"/>
      <c r="N82" s="81"/>
      <c r="O82" s="133"/>
      <c r="P82" s="133"/>
      <c r="Q82" s="133"/>
      <c r="R82" s="133"/>
      <c r="S82" s="133"/>
      <c r="T82" s="133"/>
      <c r="U82" s="133" t="s">
        <v>468</v>
      </c>
      <c r="V82" s="133"/>
      <c r="W82" s="133"/>
      <c r="X82" s="133">
        <v>1</v>
      </c>
      <c r="Y82" s="145" t="s">
        <v>205</v>
      </c>
    </row>
    <row r="83" spans="1:25" ht="15">
      <c r="A83" s="89" t="s">
        <v>108</v>
      </c>
      <c r="B83" s="146" t="s">
        <v>208</v>
      </c>
      <c r="C83" s="133"/>
      <c r="D83" s="133"/>
      <c r="E83" s="133"/>
      <c r="F83" s="133"/>
      <c r="G83" s="154">
        <f>'Spotřeba elektřiny'!BB83</f>
        <v>0.08000000000000002</v>
      </c>
      <c r="H83" s="133"/>
      <c r="I83" s="133">
        <f t="shared" si="5"/>
        <v>0.08000000000000002</v>
      </c>
      <c r="J83" s="128">
        <f t="shared" si="4"/>
        <v>9.393006809890801E-06</v>
      </c>
      <c r="K83" s="80"/>
      <c r="L83" s="81"/>
      <c r="M83" s="80"/>
      <c r="N83" s="81"/>
      <c r="O83" s="133"/>
      <c r="P83" s="133"/>
      <c r="Q83" s="133"/>
      <c r="R83" s="133"/>
      <c r="S83" s="133"/>
      <c r="T83" s="133"/>
      <c r="U83" s="133" t="s">
        <v>468</v>
      </c>
      <c r="V83" s="133"/>
      <c r="W83" s="133"/>
      <c r="X83" s="133">
        <v>1</v>
      </c>
      <c r="Y83" s="145" t="s">
        <v>207</v>
      </c>
    </row>
    <row r="84" spans="1:25" ht="15">
      <c r="A84" s="89" t="s">
        <v>108</v>
      </c>
      <c r="B84" s="146" t="s">
        <v>210</v>
      </c>
      <c r="C84" s="133"/>
      <c r="D84" s="133"/>
      <c r="E84" s="133"/>
      <c r="F84" s="133"/>
      <c r="G84" s="154">
        <f>'Spotřeba elektřiny'!BB84</f>
        <v>0</v>
      </c>
      <c r="H84" s="133"/>
      <c r="I84" s="133">
        <f t="shared" si="5"/>
        <v>0</v>
      </c>
      <c r="J84" s="128">
        <f t="shared" si="4"/>
        <v>0</v>
      </c>
      <c r="K84" s="80"/>
      <c r="L84" s="81"/>
      <c r="M84" s="80"/>
      <c r="N84" s="81"/>
      <c r="O84" s="133"/>
      <c r="P84" s="133"/>
      <c r="Q84" s="133"/>
      <c r="R84" s="133"/>
      <c r="S84" s="133"/>
      <c r="T84" s="133"/>
      <c r="U84" s="133" t="s">
        <v>468</v>
      </c>
      <c r="V84" s="133"/>
      <c r="W84" s="133"/>
      <c r="X84" s="133">
        <v>1</v>
      </c>
      <c r="Y84" s="145" t="s">
        <v>209</v>
      </c>
    </row>
    <row r="85" spans="1:25" ht="15">
      <c r="A85" s="89" t="s">
        <v>108</v>
      </c>
      <c r="B85" s="146" t="s">
        <v>212</v>
      </c>
      <c r="C85" s="133"/>
      <c r="D85" s="133"/>
      <c r="E85" s="133"/>
      <c r="F85" s="133"/>
      <c r="G85" s="154">
        <f>'Spotřeba elektřiny'!BB85</f>
        <v>0.114</v>
      </c>
      <c r="H85" s="133"/>
      <c r="I85" s="133">
        <f t="shared" si="5"/>
        <v>0.114</v>
      </c>
      <c r="J85" s="128">
        <f t="shared" si="4"/>
        <v>1.3385034704094389E-05</v>
      </c>
      <c r="K85" s="80"/>
      <c r="L85" s="81"/>
      <c r="M85" s="80"/>
      <c r="N85" s="81"/>
      <c r="O85" s="133"/>
      <c r="P85" s="133"/>
      <c r="Q85" s="133"/>
      <c r="R85" s="133"/>
      <c r="S85" s="133"/>
      <c r="T85" s="133"/>
      <c r="U85" s="133" t="s">
        <v>468</v>
      </c>
      <c r="V85" s="133"/>
      <c r="W85" s="133"/>
      <c r="X85" s="133">
        <v>1</v>
      </c>
      <c r="Y85" s="145" t="s">
        <v>211</v>
      </c>
    </row>
    <row r="86" spans="1:25" ht="15">
      <c r="A86" s="89" t="s">
        <v>108</v>
      </c>
      <c r="B86" s="146" t="s">
        <v>214</v>
      </c>
      <c r="C86" s="133"/>
      <c r="D86" s="133"/>
      <c r="E86" s="133"/>
      <c r="F86" s="133"/>
      <c r="G86" s="154">
        <f>'Spotřeba elektřiny'!BB86</f>
        <v>1.462</v>
      </c>
      <c r="H86" s="133"/>
      <c r="I86" s="133">
        <f t="shared" si="5"/>
        <v>1.462</v>
      </c>
      <c r="J86" s="128">
        <f t="shared" si="4"/>
        <v>0.00017165719945075433</v>
      </c>
      <c r="K86" s="80"/>
      <c r="L86" s="81"/>
      <c r="M86" s="80"/>
      <c r="N86" s="81"/>
      <c r="O86" s="133"/>
      <c r="P86" s="133"/>
      <c r="Q86" s="133"/>
      <c r="R86" s="133"/>
      <c r="S86" s="133"/>
      <c r="T86" s="133"/>
      <c r="U86" s="133" t="s">
        <v>468</v>
      </c>
      <c r="V86" s="133"/>
      <c r="W86" s="133"/>
      <c r="X86" s="133">
        <v>1</v>
      </c>
      <c r="Y86" s="145" t="s">
        <v>213</v>
      </c>
    </row>
    <row r="87" spans="1:25" ht="15">
      <c r="A87" s="89" t="s">
        <v>108</v>
      </c>
      <c r="B87" s="146" t="s">
        <v>216</v>
      </c>
      <c r="C87" s="133"/>
      <c r="D87" s="133"/>
      <c r="E87" s="133"/>
      <c r="F87" s="133"/>
      <c r="G87" s="154">
        <f>'Spotřeba elektřiny'!BB87</f>
        <v>0.125</v>
      </c>
      <c r="H87" s="133"/>
      <c r="I87" s="133">
        <f t="shared" si="5"/>
        <v>0.125</v>
      </c>
      <c r="J87" s="128">
        <f t="shared" si="4"/>
        <v>1.4676573140454374E-05</v>
      </c>
      <c r="K87" s="80"/>
      <c r="L87" s="81"/>
      <c r="M87" s="80"/>
      <c r="N87" s="81"/>
      <c r="O87" s="133"/>
      <c r="P87" s="133"/>
      <c r="Q87" s="133"/>
      <c r="R87" s="133"/>
      <c r="S87" s="133"/>
      <c r="T87" s="133"/>
      <c r="U87" s="133" t="s">
        <v>468</v>
      </c>
      <c r="V87" s="133"/>
      <c r="W87" s="133"/>
      <c r="X87" s="133">
        <v>1</v>
      </c>
      <c r="Y87" s="145" t="s">
        <v>215</v>
      </c>
    </row>
    <row r="88" spans="1:25" ht="15">
      <c r="A88" s="89" t="s">
        <v>108</v>
      </c>
      <c r="B88" s="146" t="s">
        <v>218</v>
      </c>
      <c r="C88" s="133"/>
      <c r="D88" s="133"/>
      <c r="E88" s="133"/>
      <c r="F88" s="133"/>
      <c r="G88" s="154">
        <f>'Spotřeba elektřiny'!BB88</f>
        <v>0.020999999999999998</v>
      </c>
      <c r="H88" s="133"/>
      <c r="I88" s="133">
        <f t="shared" si="5"/>
        <v>0.020999999999999998</v>
      </c>
      <c r="J88" s="128">
        <f t="shared" si="4"/>
        <v>2.4656642875963346E-06</v>
      </c>
      <c r="K88" s="80"/>
      <c r="L88" s="81"/>
      <c r="M88" s="80"/>
      <c r="N88" s="81"/>
      <c r="O88" s="133"/>
      <c r="P88" s="133"/>
      <c r="Q88" s="133"/>
      <c r="R88" s="133"/>
      <c r="S88" s="133"/>
      <c r="T88" s="133"/>
      <c r="U88" s="133" t="s">
        <v>468</v>
      </c>
      <c r="V88" s="133"/>
      <c r="W88" s="133"/>
      <c r="X88" s="133">
        <v>1</v>
      </c>
      <c r="Y88" s="145" t="s">
        <v>217</v>
      </c>
    </row>
    <row r="89" spans="1:25" ht="15">
      <c r="A89" s="89" t="s">
        <v>108</v>
      </c>
      <c r="B89" s="146" t="s">
        <v>220</v>
      </c>
      <c r="C89" s="133"/>
      <c r="D89" s="133"/>
      <c r="E89" s="133"/>
      <c r="F89" s="133"/>
      <c r="G89" s="154">
        <f>'Spotřeba elektřiny'!BB89</f>
        <v>0.008</v>
      </c>
      <c r="H89" s="133"/>
      <c r="I89" s="133">
        <f t="shared" si="5"/>
        <v>0.008</v>
      </c>
      <c r="J89" s="128">
        <f t="shared" si="4"/>
        <v>9.393006809890799E-07</v>
      </c>
      <c r="K89" s="80"/>
      <c r="L89" s="81"/>
      <c r="M89" s="80"/>
      <c r="N89" s="81"/>
      <c r="O89" s="133"/>
      <c r="P89" s="133"/>
      <c r="Q89" s="133"/>
      <c r="R89" s="133"/>
      <c r="S89" s="133"/>
      <c r="T89" s="133"/>
      <c r="U89" s="133" t="s">
        <v>468</v>
      </c>
      <c r="V89" s="133"/>
      <c r="W89" s="133"/>
      <c r="X89" s="133">
        <v>1</v>
      </c>
      <c r="Y89" s="145" t="s">
        <v>219</v>
      </c>
    </row>
    <row r="90" spans="1:25" ht="15">
      <c r="A90" s="89" t="s">
        <v>108</v>
      </c>
      <c r="B90" s="146" t="s">
        <v>222</v>
      </c>
      <c r="C90" s="133"/>
      <c r="D90" s="133"/>
      <c r="E90" s="133"/>
      <c r="F90" s="133"/>
      <c r="G90" s="154">
        <f>'Spotřeba elektřiny'!BB90</f>
        <v>0.009000000000000001</v>
      </c>
      <c r="H90" s="133"/>
      <c r="I90" s="133">
        <f t="shared" si="5"/>
        <v>0.009000000000000001</v>
      </c>
      <c r="J90" s="128">
        <f t="shared" si="4"/>
        <v>1.056713266112715E-06</v>
      </c>
      <c r="K90" s="80"/>
      <c r="L90" s="81"/>
      <c r="M90" s="80"/>
      <c r="N90" s="81"/>
      <c r="O90" s="133"/>
      <c r="P90" s="133"/>
      <c r="Q90" s="133"/>
      <c r="R90" s="133"/>
      <c r="S90" s="133"/>
      <c r="T90" s="133"/>
      <c r="U90" s="133" t="s">
        <v>468</v>
      </c>
      <c r="V90" s="133"/>
      <c r="W90" s="133"/>
      <c r="X90" s="133">
        <v>1</v>
      </c>
      <c r="Y90" s="145" t="s">
        <v>221</v>
      </c>
    </row>
    <row r="91" spans="1:25" ht="15">
      <c r="A91" s="89" t="s">
        <v>108</v>
      </c>
      <c r="B91" s="146" t="s">
        <v>224</v>
      </c>
      <c r="C91" s="133"/>
      <c r="D91" s="133"/>
      <c r="E91" s="133"/>
      <c r="F91" s="133"/>
      <c r="G91" s="154">
        <f>'Spotřeba elektřiny'!BB91</f>
        <v>0</v>
      </c>
      <c r="H91" s="133"/>
      <c r="I91" s="133">
        <f t="shared" si="5"/>
        <v>0</v>
      </c>
      <c r="J91" s="128">
        <f t="shared" si="4"/>
        <v>0</v>
      </c>
      <c r="K91" s="80"/>
      <c r="L91" s="81"/>
      <c r="M91" s="80"/>
      <c r="N91" s="81"/>
      <c r="O91" s="133"/>
      <c r="P91" s="133"/>
      <c r="Q91" s="133"/>
      <c r="R91" s="133"/>
      <c r="S91" s="133"/>
      <c r="T91" s="133"/>
      <c r="U91" s="133" t="s">
        <v>468</v>
      </c>
      <c r="V91" s="133"/>
      <c r="W91" s="133"/>
      <c r="X91" s="133">
        <v>1</v>
      </c>
      <c r="Y91" s="145" t="s">
        <v>223</v>
      </c>
    </row>
    <row r="92" spans="1:25" ht="15">
      <c r="A92" s="89" t="s">
        <v>108</v>
      </c>
      <c r="B92" s="146" t="s">
        <v>226</v>
      </c>
      <c r="C92" s="133"/>
      <c r="D92" s="133"/>
      <c r="E92" s="133"/>
      <c r="F92" s="133"/>
      <c r="G92" s="154">
        <f>'Spotřeba elektřiny'!BB92</f>
        <v>0.01</v>
      </c>
      <c r="H92" s="133"/>
      <c r="I92" s="133">
        <f t="shared" si="5"/>
        <v>0.01</v>
      </c>
      <c r="J92" s="128">
        <f t="shared" si="4"/>
        <v>1.17412585123635E-06</v>
      </c>
      <c r="K92" s="80"/>
      <c r="L92" s="81"/>
      <c r="M92" s="80"/>
      <c r="N92" s="81"/>
      <c r="O92" s="133"/>
      <c r="P92" s="133"/>
      <c r="Q92" s="133"/>
      <c r="R92" s="133"/>
      <c r="S92" s="133"/>
      <c r="T92" s="133"/>
      <c r="U92" s="133" t="s">
        <v>468</v>
      </c>
      <c r="V92" s="133"/>
      <c r="W92" s="133"/>
      <c r="X92" s="133">
        <v>1</v>
      </c>
      <c r="Y92" s="145" t="s">
        <v>225</v>
      </c>
    </row>
    <row r="93" spans="1:25" ht="15">
      <c r="A93" s="89" t="s">
        <v>108</v>
      </c>
      <c r="B93" s="146" t="s">
        <v>228</v>
      </c>
      <c r="C93" s="133"/>
      <c r="D93" s="133"/>
      <c r="E93" s="133"/>
      <c r="F93" s="133"/>
      <c r="G93" s="154">
        <f>'Spotřeba elektřiny'!BB93</f>
        <v>0.007</v>
      </c>
      <c r="H93" s="133"/>
      <c r="I93" s="133">
        <f t="shared" si="5"/>
        <v>0.007</v>
      </c>
      <c r="J93" s="128">
        <f t="shared" si="4"/>
        <v>8.218880958654449E-07</v>
      </c>
      <c r="K93" s="80"/>
      <c r="L93" s="81"/>
      <c r="M93" s="80"/>
      <c r="N93" s="81"/>
      <c r="O93" s="133"/>
      <c r="P93" s="133"/>
      <c r="Q93" s="133"/>
      <c r="R93" s="133"/>
      <c r="S93" s="133"/>
      <c r="T93" s="133"/>
      <c r="U93" s="133" t="s">
        <v>468</v>
      </c>
      <c r="V93" s="133"/>
      <c r="W93" s="133"/>
      <c r="X93" s="133">
        <v>1</v>
      </c>
      <c r="Y93" s="145" t="s">
        <v>227</v>
      </c>
    </row>
    <row r="94" spans="1:25" ht="15">
      <c r="A94" s="89" t="s">
        <v>44</v>
      </c>
      <c r="B94" s="146" t="s">
        <v>230</v>
      </c>
      <c r="C94" s="133"/>
      <c r="D94" s="133"/>
      <c r="E94" s="133"/>
      <c r="F94" s="133"/>
      <c r="G94" s="154">
        <f>'Spotřeba elektřiny'!BB94</f>
        <v>0</v>
      </c>
      <c r="H94" s="133"/>
      <c r="I94" s="133">
        <f t="shared" si="5"/>
        <v>0</v>
      </c>
      <c r="J94" s="128">
        <f t="shared" si="4"/>
        <v>0</v>
      </c>
      <c r="K94" s="80"/>
      <c r="L94" s="81"/>
      <c r="M94" s="80"/>
      <c r="N94" s="81"/>
      <c r="O94" s="133"/>
      <c r="P94" s="133"/>
      <c r="Q94" s="133"/>
      <c r="R94" s="133"/>
      <c r="S94" s="133"/>
      <c r="T94" s="133"/>
      <c r="U94" s="133" t="s">
        <v>468</v>
      </c>
      <c r="V94" s="133"/>
      <c r="W94" s="133"/>
      <c r="X94" s="133">
        <v>1</v>
      </c>
      <c r="Y94" s="145" t="s">
        <v>229</v>
      </c>
    </row>
    <row r="95" spans="1:25" ht="15">
      <c r="A95" s="89" t="s">
        <v>232</v>
      </c>
      <c r="B95" s="146" t="s">
        <v>233</v>
      </c>
      <c r="C95" s="133"/>
      <c r="D95" s="133"/>
      <c r="E95" s="133"/>
      <c r="F95" s="133"/>
      <c r="G95" s="154">
        <f>'Spotřeba elektřiny'!BB95</f>
        <v>3.81</v>
      </c>
      <c r="H95" s="133"/>
      <c r="I95" s="133">
        <f>G95+IF(E95&gt;0,E95,F95)</f>
        <v>3.81</v>
      </c>
      <c r="J95" s="128">
        <f t="shared" si="4"/>
        <v>0.0004473419493210493</v>
      </c>
      <c r="K95" s="80"/>
      <c r="L95" s="81"/>
      <c r="M95" s="80"/>
      <c r="N95" s="81"/>
      <c r="O95" s="133"/>
      <c r="P95" s="133"/>
      <c r="Q95" s="133"/>
      <c r="R95" s="133"/>
      <c r="S95" s="133"/>
      <c r="T95" s="133"/>
      <c r="U95" s="133" t="s">
        <v>468</v>
      </c>
      <c r="V95" s="133"/>
      <c r="W95" s="133"/>
      <c r="X95" s="133">
        <v>1</v>
      </c>
      <c r="Y95" s="145" t="s">
        <v>231</v>
      </c>
    </row>
    <row r="96" spans="1:25" ht="15">
      <c r="A96" s="89" t="s">
        <v>237</v>
      </c>
      <c r="B96" s="146" t="s">
        <v>238</v>
      </c>
      <c r="C96" s="133" t="s">
        <v>452</v>
      </c>
      <c r="D96" s="133" t="s">
        <v>452</v>
      </c>
      <c r="E96" s="133"/>
      <c r="F96" s="133"/>
      <c r="G96" s="154">
        <v>65.592516</v>
      </c>
      <c r="H96" s="133"/>
      <c r="I96" s="133"/>
      <c r="J96" s="128"/>
      <c r="K96" s="80"/>
      <c r="L96" s="81"/>
      <c r="M96" s="80"/>
      <c r="N96" s="81"/>
      <c r="O96" s="133"/>
      <c r="P96" s="133"/>
      <c r="Q96" s="133"/>
      <c r="R96" s="133"/>
      <c r="S96" s="133"/>
      <c r="T96" s="133"/>
      <c r="U96" s="133" t="s">
        <v>468</v>
      </c>
      <c r="V96" s="133"/>
      <c r="W96" s="133"/>
      <c r="X96" s="133">
        <v>1</v>
      </c>
      <c r="Y96" s="145" t="s">
        <v>236</v>
      </c>
    </row>
    <row r="97" spans="1:25" ht="15">
      <c r="A97" s="89" t="s">
        <v>237</v>
      </c>
      <c r="B97" s="146" t="s">
        <v>240</v>
      </c>
      <c r="C97" s="133" t="s">
        <v>452</v>
      </c>
      <c r="D97" s="133" t="s">
        <v>452</v>
      </c>
      <c r="E97" s="133"/>
      <c r="F97" s="133"/>
      <c r="G97" s="154">
        <v>63.271147</v>
      </c>
      <c r="H97" s="133"/>
      <c r="I97" s="133"/>
      <c r="J97" s="128"/>
      <c r="K97" s="80"/>
      <c r="L97" s="81"/>
      <c r="M97" s="80"/>
      <c r="N97" s="81"/>
      <c r="O97" s="133"/>
      <c r="P97" s="133"/>
      <c r="Q97" s="133"/>
      <c r="R97" s="133"/>
      <c r="S97" s="133"/>
      <c r="T97" s="133"/>
      <c r="U97" s="133" t="s">
        <v>468</v>
      </c>
      <c r="V97" s="133"/>
      <c r="W97" s="133"/>
      <c r="X97" s="133">
        <v>1</v>
      </c>
      <c r="Y97" s="145" t="s">
        <v>239</v>
      </c>
    </row>
    <row r="98" spans="1:25" ht="15">
      <c r="A98" s="89" t="s">
        <v>237</v>
      </c>
      <c r="B98" s="146" t="s">
        <v>242</v>
      </c>
      <c r="C98" s="133" t="s">
        <v>452</v>
      </c>
      <c r="D98" s="133" t="s">
        <v>452</v>
      </c>
      <c r="E98" s="133"/>
      <c r="F98" s="133"/>
      <c r="G98" s="154">
        <v>55.925825</v>
      </c>
      <c r="H98" s="133"/>
      <c r="I98" s="133"/>
      <c r="J98" s="128"/>
      <c r="K98" s="80"/>
      <c r="L98" s="81"/>
      <c r="M98" s="80"/>
      <c r="N98" s="81"/>
      <c r="O98" s="133"/>
      <c r="P98" s="133"/>
      <c r="Q98" s="133"/>
      <c r="R98" s="133"/>
      <c r="S98" s="133"/>
      <c r="T98" s="133"/>
      <c r="U98" s="133" t="s">
        <v>468</v>
      </c>
      <c r="V98" s="133"/>
      <c r="W98" s="133"/>
      <c r="X98" s="133">
        <v>1</v>
      </c>
      <c r="Y98" s="145" t="s">
        <v>241</v>
      </c>
    </row>
    <row r="99" spans="1:25" ht="15">
      <c r="A99" s="89" t="s">
        <v>237</v>
      </c>
      <c r="B99" s="146" t="s">
        <v>244</v>
      </c>
      <c r="C99" s="133" t="s">
        <v>453</v>
      </c>
      <c r="D99" s="133" t="s">
        <v>453</v>
      </c>
      <c r="E99" s="133"/>
      <c r="F99" s="133"/>
      <c r="G99" s="154">
        <v>54.160292</v>
      </c>
      <c r="H99" s="133"/>
      <c r="I99" s="133"/>
      <c r="J99" s="128"/>
      <c r="K99" s="80"/>
      <c r="L99" s="81"/>
      <c r="M99" s="80"/>
      <c r="N99" s="81"/>
      <c r="O99" s="133"/>
      <c r="P99" s="133"/>
      <c r="Q99" s="133"/>
      <c r="R99" s="133"/>
      <c r="S99" s="133"/>
      <c r="T99" s="133"/>
      <c r="U99" s="133" t="s">
        <v>468</v>
      </c>
      <c r="V99" s="133"/>
      <c r="W99" s="133"/>
      <c r="X99" s="133">
        <v>1</v>
      </c>
      <c r="Y99" s="145" t="s">
        <v>243</v>
      </c>
    </row>
    <row r="100" spans="1:25" ht="15">
      <c r="A100" s="89" t="s">
        <v>237</v>
      </c>
      <c r="B100" s="146" t="s">
        <v>246</v>
      </c>
      <c r="C100" s="133" t="s">
        <v>452</v>
      </c>
      <c r="D100" s="133" t="s">
        <v>452</v>
      </c>
      <c r="E100" s="133"/>
      <c r="F100" s="133"/>
      <c r="G100" s="154">
        <v>51.36845</v>
      </c>
      <c r="H100" s="133"/>
      <c r="I100" s="133"/>
      <c r="J100" s="128"/>
      <c r="K100" s="80"/>
      <c r="L100" s="81"/>
      <c r="M100" s="80"/>
      <c r="N100" s="81"/>
      <c r="O100" s="133"/>
      <c r="P100" s="133"/>
      <c r="Q100" s="133"/>
      <c r="R100" s="133"/>
      <c r="S100" s="133"/>
      <c r="T100" s="133"/>
      <c r="U100" s="133" t="s">
        <v>468</v>
      </c>
      <c r="V100" s="133"/>
      <c r="W100" s="133"/>
      <c r="X100" s="133">
        <v>1</v>
      </c>
      <c r="Y100" s="145" t="s">
        <v>245</v>
      </c>
    </row>
    <row r="101" spans="1:25" ht="15">
      <c r="A101" s="89" t="s">
        <v>237</v>
      </c>
      <c r="B101" s="146" t="s">
        <v>248</v>
      </c>
      <c r="C101" s="133" t="s">
        <v>452</v>
      </c>
      <c r="D101" s="133" t="s">
        <v>452</v>
      </c>
      <c r="E101" s="133"/>
      <c r="F101" s="133"/>
      <c r="G101" s="154">
        <v>48.66711</v>
      </c>
      <c r="H101" s="133"/>
      <c r="I101" s="133"/>
      <c r="J101" s="128"/>
      <c r="K101" s="80"/>
      <c r="L101" s="81"/>
      <c r="M101" s="80"/>
      <c r="N101" s="81"/>
      <c r="O101" s="133"/>
      <c r="P101" s="133"/>
      <c r="Q101" s="133"/>
      <c r="R101" s="133"/>
      <c r="S101" s="133"/>
      <c r="T101" s="133"/>
      <c r="U101" s="133" t="s">
        <v>468</v>
      </c>
      <c r="V101" s="133"/>
      <c r="W101" s="133"/>
      <c r="X101" s="133">
        <v>1</v>
      </c>
      <c r="Y101" s="145" t="s">
        <v>247</v>
      </c>
    </row>
    <row r="102" spans="1:25" ht="15">
      <c r="A102" s="89" t="s">
        <v>237</v>
      </c>
      <c r="B102" s="146" t="s">
        <v>250</v>
      </c>
      <c r="C102" s="133" t="s">
        <v>452</v>
      </c>
      <c r="D102" s="133" t="s">
        <v>452</v>
      </c>
      <c r="E102" s="133"/>
      <c r="F102" s="133"/>
      <c r="G102" s="154">
        <v>45.11513</v>
      </c>
      <c r="H102" s="133"/>
      <c r="I102" s="133"/>
      <c r="J102" s="128"/>
      <c r="K102" s="80"/>
      <c r="L102" s="81"/>
      <c r="M102" s="80"/>
      <c r="N102" s="81"/>
      <c r="O102" s="133"/>
      <c r="P102" s="133"/>
      <c r="Q102" s="133"/>
      <c r="R102" s="133"/>
      <c r="S102" s="133"/>
      <c r="T102" s="133"/>
      <c r="U102" s="133" t="s">
        <v>468</v>
      </c>
      <c r="V102" s="133"/>
      <c r="W102" s="133"/>
      <c r="X102" s="133">
        <v>1</v>
      </c>
      <c r="Y102" s="145" t="s">
        <v>249</v>
      </c>
    </row>
    <row r="103" spans="1:25" ht="15">
      <c r="A103" s="89" t="s">
        <v>237</v>
      </c>
      <c r="B103" s="146" t="s">
        <v>252</v>
      </c>
      <c r="C103" s="133" t="s">
        <v>452</v>
      </c>
      <c r="D103" s="133" t="s">
        <v>452</v>
      </c>
      <c r="E103" s="133"/>
      <c r="F103" s="133"/>
      <c r="G103" s="154">
        <v>42.515816</v>
      </c>
      <c r="H103" s="133"/>
      <c r="I103" s="133"/>
      <c r="J103" s="128"/>
      <c r="K103" s="80"/>
      <c r="L103" s="81"/>
      <c r="M103" s="80"/>
      <c r="N103" s="81"/>
      <c r="O103" s="133"/>
      <c r="P103" s="133"/>
      <c r="Q103" s="133"/>
      <c r="R103" s="133"/>
      <c r="S103" s="133"/>
      <c r="T103" s="133"/>
      <c r="U103" s="133" t="s">
        <v>468</v>
      </c>
      <c r="V103" s="133"/>
      <c r="W103" s="133"/>
      <c r="X103" s="133">
        <v>1</v>
      </c>
      <c r="Y103" s="145" t="s">
        <v>251</v>
      </c>
    </row>
    <row r="104" spans="1:25" ht="15">
      <c r="A104" s="89" t="s">
        <v>237</v>
      </c>
      <c r="B104" s="146" t="s">
        <v>254</v>
      </c>
      <c r="C104" s="133" t="s">
        <v>452</v>
      </c>
      <c r="D104" s="133" t="s">
        <v>452</v>
      </c>
      <c r="E104" s="133"/>
      <c r="F104" s="133"/>
      <c r="G104" s="154">
        <v>38.072727</v>
      </c>
      <c r="H104" s="133"/>
      <c r="I104" s="133"/>
      <c r="J104" s="128"/>
      <c r="K104" s="80"/>
      <c r="L104" s="81"/>
      <c r="M104" s="80"/>
      <c r="N104" s="81"/>
      <c r="O104" s="133"/>
      <c r="P104" s="133"/>
      <c r="Q104" s="133"/>
      <c r="R104" s="133"/>
      <c r="S104" s="133"/>
      <c r="T104" s="133"/>
      <c r="U104" s="133" t="s">
        <v>468</v>
      </c>
      <c r="V104" s="133"/>
      <c r="W104" s="133"/>
      <c r="X104" s="133">
        <v>1</v>
      </c>
      <c r="Y104" s="145" t="s">
        <v>253</v>
      </c>
    </row>
    <row r="105" spans="1:25" ht="15">
      <c r="A105" s="89" t="s">
        <v>237</v>
      </c>
      <c r="B105" s="146" t="s">
        <v>256</v>
      </c>
      <c r="C105" s="133" t="s">
        <v>452</v>
      </c>
      <c r="D105" s="133" t="s">
        <v>452</v>
      </c>
      <c r="E105" s="133"/>
      <c r="F105" s="133"/>
      <c r="G105" s="154">
        <v>38.059467</v>
      </c>
      <c r="H105" s="133"/>
      <c r="I105" s="133"/>
      <c r="J105" s="128"/>
      <c r="K105" s="80"/>
      <c r="L105" s="81"/>
      <c r="M105" s="80"/>
      <c r="N105" s="81"/>
      <c r="O105" s="133"/>
      <c r="P105" s="133"/>
      <c r="Q105" s="133"/>
      <c r="R105" s="133"/>
      <c r="S105" s="133"/>
      <c r="T105" s="133"/>
      <c r="U105" s="133" t="s">
        <v>468</v>
      </c>
      <c r="V105" s="133"/>
      <c r="W105" s="133"/>
      <c r="X105" s="133">
        <v>1</v>
      </c>
      <c r="Y105" s="145" t="s">
        <v>255</v>
      </c>
    </row>
    <row r="106" spans="1:25" ht="15">
      <c r="A106" s="89" t="s">
        <v>237</v>
      </c>
      <c r="B106" s="146" t="s">
        <v>258</v>
      </c>
      <c r="C106" s="133" t="s">
        <v>452</v>
      </c>
      <c r="D106" s="133" t="s">
        <v>452</v>
      </c>
      <c r="E106" s="133"/>
      <c r="F106" s="133"/>
      <c r="G106" s="154">
        <v>37.74226</v>
      </c>
      <c r="H106" s="133"/>
      <c r="I106" s="133"/>
      <c r="J106" s="128"/>
      <c r="K106" s="80"/>
      <c r="L106" s="81"/>
      <c r="M106" s="80"/>
      <c r="N106" s="81"/>
      <c r="O106" s="133"/>
      <c r="P106" s="133"/>
      <c r="Q106" s="133"/>
      <c r="R106" s="133"/>
      <c r="S106" s="133"/>
      <c r="T106" s="133"/>
      <c r="U106" s="133" t="s">
        <v>468</v>
      </c>
      <c r="V106" s="133"/>
      <c r="W106" s="133"/>
      <c r="X106" s="133">
        <v>1</v>
      </c>
      <c r="Y106" s="145" t="s">
        <v>257</v>
      </c>
    </row>
    <row r="107" spans="1:25" ht="15">
      <c r="A107" s="89" t="s">
        <v>237</v>
      </c>
      <c r="B107" s="146" t="s">
        <v>260</v>
      </c>
      <c r="C107" s="133" t="s">
        <v>452</v>
      </c>
      <c r="D107" s="133" t="s">
        <v>452</v>
      </c>
      <c r="E107" s="133"/>
      <c r="F107" s="133"/>
      <c r="G107" s="154">
        <v>35.585103</v>
      </c>
      <c r="H107" s="133"/>
      <c r="I107" s="133"/>
      <c r="J107" s="128"/>
      <c r="K107" s="80"/>
      <c r="L107" s="81"/>
      <c r="M107" s="80"/>
      <c r="N107" s="81"/>
      <c r="O107" s="133"/>
      <c r="P107" s="133"/>
      <c r="Q107" s="133"/>
      <c r="R107" s="133"/>
      <c r="S107" s="133"/>
      <c r="T107" s="133"/>
      <c r="U107" s="133" t="s">
        <v>468</v>
      </c>
      <c r="V107" s="133"/>
      <c r="W107" s="133"/>
      <c r="X107" s="133">
        <v>1</v>
      </c>
      <c r="Y107" s="145" t="s">
        <v>259</v>
      </c>
    </row>
    <row r="108" spans="1:25" ht="15">
      <c r="A108" s="89" t="s">
        <v>237</v>
      </c>
      <c r="B108" s="146" t="s">
        <v>262</v>
      </c>
      <c r="C108" s="133" t="s">
        <v>452</v>
      </c>
      <c r="D108" s="133" t="s">
        <v>452</v>
      </c>
      <c r="E108" s="133"/>
      <c r="F108" s="133"/>
      <c r="G108" s="154">
        <v>35.351768</v>
      </c>
      <c r="H108" s="133"/>
      <c r="I108" s="133"/>
      <c r="J108" s="128"/>
      <c r="K108" s="80"/>
      <c r="L108" s="81"/>
      <c r="M108" s="80"/>
      <c r="N108" s="81"/>
      <c r="O108" s="133"/>
      <c r="P108" s="133"/>
      <c r="Q108" s="133"/>
      <c r="R108" s="133"/>
      <c r="S108" s="133"/>
      <c r="T108" s="133"/>
      <c r="U108" s="133" t="s">
        <v>468</v>
      </c>
      <c r="V108" s="133"/>
      <c r="W108" s="133"/>
      <c r="X108" s="133">
        <v>1</v>
      </c>
      <c r="Y108" s="145" t="s">
        <v>261</v>
      </c>
    </row>
    <row r="109" spans="1:25" ht="15">
      <c r="A109" s="89" t="s">
        <v>237</v>
      </c>
      <c r="B109" s="146" t="s">
        <v>264</v>
      </c>
      <c r="C109" s="133" t="s">
        <v>452</v>
      </c>
      <c r="D109" s="133" t="s">
        <v>452</v>
      </c>
      <c r="E109" s="133"/>
      <c r="F109" s="133"/>
      <c r="G109" s="154">
        <v>35.040218</v>
      </c>
      <c r="H109" s="133"/>
      <c r="I109" s="133"/>
      <c r="J109" s="128"/>
      <c r="K109" s="80"/>
      <c r="L109" s="81"/>
      <c r="M109" s="80"/>
      <c r="N109" s="81"/>
      <c r="O109" s="133"/>
      <c r="P109" s="133"/>
      <c r="Q109" s="133"/>
      <c r="R109" s="133"/>
      <c r="S109" s="133"/>
      <c r="T109" s="133"/>
      <c r="U109" s="133" t="s">
        <v>468</v>
      </c>
      <c r="V109" s="133"/>
      <c r="W109" s="133"/>
      <c r="X109" s="133">
        <v>1</v>
      </c>
      <c r="Y109" s="145" t="s">
        <v>263</v>
      </c>
    </row>
    <row r="110" spans="1:25" ht="15">
      <c r="A110" s="89" t="s">
        <v>237</v>
      </c>
      <c r="B110" s="146" t="s">
        <v>266</v>
      </c>
      <c r="C110" s="133" t="s">
        <v>452</v>
      </c>
      <c r="D110" s="133" t="s">
        <v>452</v>
      </c>
      <c r="E110" s="133"/>
      <c r="F110" s="133"/>
      <c r="G110" s="154">
        <v>34.949649</v>
      </c>
      <c r="H110" s="133"/>
      <c r="I110" s="133"/>
      <c r="J110" s="128"/>
      <c r="K110" s="80"/>
      <c r="L110" s="81"/>
      <c r="M110" s="80"/>
      <c r="N110" s="81"/>
      <c r="O110" s="133"/>
      <c r="P110" s="133"/>
      <c r="Q110" s="133"/>
      <c r="R110" s="133"/>
      <c r="S110" s="133"/>
      <c r="T110" s="133"/>
      <c r="U110" s="133" t="s">
        <v>468</v>
      </c>
      <c r="V110" s="133"/>
      <c r="W110" s="133"/>
      <c r="X110" s="133">
        <v>1</v>
      </c>
      <c r="Y110" s="145" t="s">
        <v>265</v>
      </c>
    </row>
    <row r="111" spans="1:25" ht="15">
      <c r="A111" s="89" t="s">
        <v>237</v>
      </c>
      <c r="B111" s="146" t="s">
        <v>268</v>
      </c>
      <c r="C111" s="133" t="s">
        <v>452</v>
      </c>
      <c r="D111" s="133" t="s">
        <v>452</v>
      </c>
      <c r="E111" s="133"/>
      <c r="F111" s="133"/>
      <c r="G111" s="154">
        <v>32.982625</v>
      </c>
      <c r="H111" s="133"/>
      <c r="I111" s="133"/>
      <c r="J111" s="128"/>
      <c r="K111" s="80"/>
      <c r="L111" s="81"/>
      <c r="M111" s="80"/>
      <c r="N111" s="81"/>
      <c r="O111" s="133"/>
      <c r="P111" s="133"/>
      <c r="Q111" s="133"/>
      <c r="R111" s="133"/>
      <c r="S111" s="133"/>
      <c r="T111" s="133"/>
      <c r="U111" s="133" t="s">
        <v>468</v>
      </c>
      <c r="V111" s="133"/>
      <c r="W111" s="133"/>
      <c r="X111" s="133">
        <v>1</v>
      </c>
      <c r="Y111" s="145" t="s">
        <v>267</v>
      </c>
    </row>
    <row r="112" spans="1:25" ht="15">
      <c r="A112" s="89" t="s">
        <v>237</v>
      </c>
      <c r="B112" s="146" t="s">
        <v>270</v>
      </c>
      <c r="C112" s="133" t="s">
        <v>452</v>
      </c>
      <c r="D112" s="133" t="s">
        <v>452</v>
      </c>
      <c r="E112" s="133"/>
      <c r="F112" s="133"/>
      <c r="G112" s="154">
        <v>32.413395</v>
      </c>
      <c r="H112" s="133"/>
      <c r="I112" s="133"/>
      <c r="J112" s="128"/>
      <c r="K112" s="80"/>
      <c r="L112" s="81"/>
      <c r="M112" s="80"/>
      <c r="N112" s="81"/>
      <c r="O112" s="133"/>
      <c r="P112" s="133"/>
      <c r="Q112" s="133"/>
      <c r="R112" s="133"/>
      <c r="S112" s="133"/>
      <c r="T112" s="133"/>
      <c r="U112" s="133" t="s">
        <v>468</v>
      </c>
      <c r="V112" s="133"/>
      <c r="W112" s="133"/>
      <c r="X112" s="133">
        <v>1</v>
      </c>
      <c r="Y112" s="145" t="s">
        <v>269</v>
      </c>
    </row>
    <row r="113" spans="1:25" ht="15">
      <c r="A113" s="89" t="s">
        <v>237</v>
      </c>
      <c r="B113" s="146" t="s">
        <v>272</v>
      </c>
      <c r="C113" s="133" t="s">
        <v>452</v>
      </c>
      <c r="D113" s="133" t="s">
        <v>452</v>
      </c>
      <c r="E113" s="133"/>
      <c r="F113" s="133"/>
      <c r="G113" s="154">
        <v>32.185185</v>
      </c>
      <c r="H113" s="133"/>
      <c r="I113" s="133"/>
      <c r="J113" s="128"/>
      <c r="K113" s="80"/>
      <c r="L113" s="81"/>
      <c r="M113" s="80"/>
      <c r="N113" s="81"/>
      <c r="O113" s="133"/>
      <c r="P113" s="133"/>
      <c r="Q113" s="133"/>
      <c r="R113" s="133"/>
      <c r="S113" s="133"/>
      <c r="T113" s="133"/>
      <c r="U113" s="133" t="s">
        <v>468</v>
      </c>
      <c r="V113" s="133"/>
      <c r="W113" s="133"/>
      <c r="X113" s="133">
        <v>1</v>
      </c>
      <c r="Y113" s="145" t="s">
        <v>271</v>
      </c>
    </row>
    <row r="114" spans="1:25" ht="15">
      <c r="A114" s="89" t="s">
        <v>237</v>
      </c>
      <c r="B114" s="146" t="s">
        <v>274</v>
      </c>
      <c r="C114" s="133" t="s">
        <v>452</v>
      </c>
      <c r="D114" s="133" t="s">
        <v>452</v>
      </c>
      <c r="E114" s="133"/>
      <c r="F114" s="133"/>
      <c r="G114" s="154">
        <v>31.940569</v>
      </c>
      <c r="H114" s="133"/>
      <c r="I114" s="133"/>
      <c r="J114" s="128"/>
      <c r="K114" s="80"/>
      <c r="L114" s="81"/>
      <c r="M114" s="80"/>
      <c r="N114" s="81"/>
      <c r="O114" s="133"/>
      <c r="P114" s="133"/>
      <c r="Q114" s="133"/>
      <c r="R114" s="133"/>
      <c r="S114" s="133"/>
      <c r="T114" s="133"/>
      <c r="U114" s="133" t="s">
        <v>468</v>
      </c>
      <c r="V114" s="133"/>
      <c r="W114" s="133"/>
      <c r="X114" s="133">
        <v>1</v>
      </c>
      <c r="Y114" s="145" t="s">
        <v>273</v>
      </c>
    </row>
    <row r="115" spans="1:25" ht="15">
      <c r="A115" s="89" t="s">
        <v>237</v>
      </c>
      <c r="B115" s="146" t="s">
        <v>276</v>
      </c>
      <c r="C115" s="133" t="s">
        <v>452</v>
      </c>
      <c r="D115" s="133" t="s">
        <v>452</v>
      </c>
      <c r="E115" s="133"/>
      <c r="F115" s="133"/>
      <c r="G115" s="154">
        <v>31.877482</v>
      </c>
      <c r="H115" s="133"/>
      <c r="I115" s="133"/>
      <c r="J115" s="128"/>
      <c r="K115" s="80"/>
      <c r="L115" s="81"/>
      <c r="M115" s="80"/>
      <c r="N115" s="81"/>
      <c r="O115" s="133"/>
      <c r="P115" s="133"/>
      <c r="Q115" s="133"/>
      <c r="R115" s="133"/>
      <c r="S115" s="133"/>
      <c r="T115" s="133"/>
      <c r="U115" s="133" t="s">
        <v>468</v>
      </c>
      <c r="V115" s="133"/>
      <c r="W115" s="133"/>
      <c r="X115" s="133">
        <v>1</v>
      </c>
      <c r="Y115" s="145" t="s">
        <v>275</v>
      </c>
    </row>
    <row r="116" spans="1:25" ht="15">
      <c r="A116" s="89" t="s">
        <v>237</v>
      </c>
      <c r="B116" s="146" t="s">
        <v>278</v>
      </c>
      <c r="C116" s="133" t="s">
        <v>452</v>
      </c>
      <c r="D116" s="133" t="s">
        <v>452</v>
      </c>
      <c r="E116" s="133"/>
      <c r="F116" s="133"/>
      <c r="G116" s="154">
        <v>31.486095</v>
      </c>
      <c r="H116" s="133"/>
      <c r="I116" s="133"/>
      <c r="J116" s="128"/>
      <c r="K116" s="80"/>
      <c r="L116" s="81"/>
      <c r="M116" s="80"/>
      <c r="N116" s="81"/>
      <c r="O116" s="133"/>
      <c r="P116" s="133"/>
      <c r="Q116" s="133"/>
      <c r="R116" s="133"/>
      <c r="S116" s="133"/>
      <c r="T116" s="133"/>
      <c r="U116" s="133" t="s">
        <v>468</v>
      </c>
      <c r="V116" s="133"/>
      <c r="W116" s="133"/>
      <c r="X116" s="133">
        <v>1</v>
      </c>
      <c r="Y116" s="145" t="s">
        <v>277</v>
      </c>
    </row>
    <row r="117" spans="1:25" ht="15">
      <c r="A117" s="89" t="s">
        <v>237</v>
      </c>
      <c r="B117" s="146" t="s">
        <v>280</v>
      </c>
      <c r="C117" s="133" t="s">
        <v>452</v>
      </c>
      <c r="D117" s="133" t="s">
        <v>452</v>
      </c>
      <c r="E117" s="133"/>
      <c r="F117" s="133"/>
      <c r="G117" s="154">
        <v>29.965805</v>
      </c>
      <c r="H117" s="133"/>
      <c r="I117" s="133"/>
      <c r="J117" s="128"/>
      <c r="K117" s="80"/>
      <c r="L117" s="81"/>
      <c r="M117" s="80"/>
      <c r="N117" s="81"/>
      <c r="O117" s="133"/>
      <c r="P117" s="133"/>
      <c r="Q117" s="133"/>
      <c r="R117" s="133"/>
      <c r="S117" s="133"/>
      <c r="T117" s="133"/>
      <c r="U117" s="133" t="s">
        <v>468</v>
      </c>
      <c r="V117" s="133"/>
      <c r="W117" s="133"/>
      <c r="X117" s="133">
        <v>1</v>
      </c>
      <c r="Y117" s="145" t="s">
        <v>279</v>
      </c>
    </row>
    <row r="118" spans="1:25" ht="15">
      <c r="A118" s="89" t="s">
        <v>237</v>
      </c>
      <c r="B118" s="146" t="s">
        <v>282</v>
      </c>
      <c r="C118" s="133" t="s">
        <v>452</v>
      </c>
      <c r="D118" s="133" t="s">
        <v>452</v>
      </c>
      <c r="E118" s="133"/>
      <c r="F118" s="133"/>
      <c r="G118" s="154">
        <v>29.954178</v>
      </c>
      <c r="H118" s="133"/>
      <c r="I118" s="133"/>
      <c r="J118" s="128"/>
      <c r="K118" s="80"/>
      <c r="L118" s="81"/>
      <c r="M118" s="80"/>
      <c r="N118" s="81"/>
      <c r="O118" s="133"/>
      <c r="P118" s="133"/>
      <c r="Q118" s="133"/>
      <c r="R118" s="133"/>
      <c r="S118" s="133"/>
      <c r="T118" s="133"/>
      <c r="U118" s="133" t="s">
        <v>468</v>
      </c>
      <c r="V118" s="133"/>
      <c r="W118" s="133"/>
      <c r="X118" s="133">
        <v>1</v>
      </c>
      <c r="Y118" s="145" t="s">
        <v>281</v>
      </c>
    </row>
    <row r="119" spans="1:25" ht="15">
      <c r="A119" s="89" t="s">
        <v>237</v>
      </c>
      <c r="B119" s="146" t="s">
        <v>284</v>
      </c>
      <c r="C119" s="133" t="s">
        <v>452</v>
      </c>
      <c r="D119" s="133" t="s">
        <v>452</v>
      </c>
      <c r="E119" s="133"/>
      <c r="F119" s="133"/>
      <c r="G119" s="154">
        <v>29.687115</v>
      </c>
      <c r="H119" s="133"/>
      <c r="I119" s="133"/>
      <c r="J119" s="128"/>
      <c r="K119" s="80"/>
      <c r="L119" s="81"/>
      <c r="M119" s="80"/>
      <c r="N119" s="81"/>
      <c r="O119" s="133"/>
      <c r="P119" s="133"/>
      <c r="Q119" s="133"/>
      <c r="R119" s="133"/>
      <c r="S119" s="133"/>
      <c r="T119" s="133"/>
      <c r="U119" s="133" t="s">
        <v>468</v>
      </c>
      <c r="V119" s="133"/>
      <c r="W119" s="133"/>
      <c r="X119" s="133">
        <v>1</v>
      </c>
      <c r="Y119" s="145" t="s">
        <v>283</v>
      </c>
    </row>
    <row r="120" spans="1:25" ht="15">
      <c r="A120" s="89" t="s">
        <v>237</v>
      </c>
      <c r="B120" s="146" t="s">
        <v>286</v>
      </c>
      <c r="C120" s="133" t="s">
        <v>452</v>
      </c>
      <c r="D120" s="133" t="s">
        <v>452</v>
      </c>
      <c r="E120" s="133"/>
      <c r="F120" s="133"/>
      <c r="G120" s="154">
        <v>28.736982</v>
      </c>
      <c r="H120" s="133"/>
      <c r="I120" s="133"/>
      <c r="J120" s="128"/>
      <c r="K120" s="80"/>
      <c r="L120" s="81"/>
      <c r="M120" s="80"/>
      <c r="N120" s="81"/>
      <c r="O120" s="133"/>
      <c r="P120" s="133"/>
      <c r="Q120" s="133"/>
      <c r="R120" s="133"/>
      <c r="S120" s="133"/>
      <c r="T120" s="133"/>
      <c r="U120" s="133" t="s">
        <v>468</v>
      </c>
      <c r="V120" s="133"/>
      <c r="W120" s="133"/>
      <c r="X120" s="133">
        <v>1</v>
      </c>
      <c r="Y120" s="145" t="s">
        <v>285</v>
      </c>
    </row>
    <row r="121" spans="1:25" ht="15">
      <c r="A121" s="89" t="s">
        <v>237</v>
      </c>
      <c r="B121" s="146" t="s">
        <v>288</v>
      </c>
      <c r="C121" s="133" t="s">
        <v>452</v>
      </c>
      <c r="D121" s="133" t="s">
        <v>452</v>
      </c>
      <c r="E121" s="133"/>
      <c r="F121" s="133"/>
      <c r="G121" s="154">
        <v>28.492153</v>
      </c>
      <c r="H121" s="133"/>
      <c r="I121" s="133"/>
      <c r="J121" s="128"/>
      <c r="K121" s="80"/>
      <c r="L121" s="81"/>
      <c r="M121" s="80"/>
      <c r="N121" s="81"/>
      <c r="O121" s="133"/>
      <c r="P121" s="133"/>
      <c r="Q121" s="133"/>
      <c r="R121" s="133"/>
      <c r="S121" s="133"/>
      <c r="T121" s="133"/>
      <c r="U121" s="133" t="s">
        <v>468</v>
      </c>
      <c r="V121" s="133"/>
      <c r="W121" s="133"/>
      <c r="X121" s="133">
        <v>1</v>
      </c>
      <c r="Y121" s="145" t="s">
        <v>287</v>
      </c>
    </row>
    <row r="122" spans="1:25" ht="15">
      <c r="A122" s="89" t="s">
        <v>237</v>
      </c>
      <c r="B122" s="146" t="s">
        <v>290</v>
      </c>
      <c r="C122" s="133" t="s">
        <v>452</v>
      </c>
      <c r="D122" s="133" t="s">
        <v>452</v>
      </c>
      <c r="E122" s="133"/>
      <c r="F122" s="133"/>
      <c r="G122" s="154">
        <v>28.410404</v>
      </c>
      <c r="H122" s="133"/>
      <c r="I122" s="133"/>
      <c r="J122" s="128"/>
      <c r="K122" s="80"/>
      <c r="L122" s="81"/>
      <c r="M122" s="80"/>
      <c r="N122" s="81"/>
      <c r="O122" s="133"/>
      <c r="P122" s="133"/>
      <c r="Q122" s="133"/>
      <c r="R122" s="133"/>
      <c r="S122" s="133"/>
      <c r="T122" s="133"/>
      <c r="U122" s="133" t="s">
        <v>468</v>
      </c>
      <c r="V122" s="133"/>
      <c r="W122" s="133"/>
      <c r="X122" s="133">
        <v>1</v>
      </c>
      <c r="Y122" s="145" t="s">
        <v>289</v>
      </c>
    </row>
    <row r="123" spans="1:25" ht="15">
      <c r="A123" s="89" t="s">
        <v>237</v>
      </c>
      <c r="B123" s="146" t="s">
        <v>292</v>
      </c>
      <c r="C123" s="133" t="s">
        <v>452</v>
      </c>
      <c r="D123" s="133" t="s">
        <v>452</v>
      </c>
      <c r="E123" s="133"/>
      <c r="F123" s="133"/>
      <c r="G123" s="154">
        <v>28.136555</v>
      </c>
      <c r="H123" s="133"/>
      <c r="I123" s="133"/>
      <c r="J123" s="128"/>
      <c r="K123" s="80"/>
      <c r="L123" s="81"/>
      <c r="M123" s="80"/>
      <c r="N123" s="81"/>
      <c r="O123" s="133"/>
      <c r="P123" s="133"/>
      <c r="Q123" s="133"/>
      <c r="R123" s="133"/>
      <c r="S123" s="133"/>
      <c r="T123" s="133"/>
      <c r="U123" s="133" t="s">
        <v>468</v>
      </c>
      <c r="V123" s="133"/>
      <c r="W123" s="133"/>
      <c r="X123" s="133">
        <v>1</v>
      </c>
      <c r="Y123" s="145" t="s">
        <v>291</v>
      </c>
    </row>
    <row r="124" spans="1:25" ht="15">
      <c r="A124" s="89" t="s">
        <v>237</v>
      </c>
      <c r="B124" s="146" t="s">
        <v>294</v>
      </c>
      <c r="C124" s="133" t="s">
        <v>452</v>
      </c>
      <c r="D124" s="133" t="s">
        <v>452</v>
      </c>
      <c r="E124" s="133"/>
      <c r="F124" s="133"/>
      <c r="G124" s="154">
        <v>27.965734</v>
      </c>
      <c r="H124" s="133"/>
      <c r="I124" s="133"/>
      <c r="J124" s="128"/>
      <c r="K124" s="80"/>
      <c r="L124" s="81"/>
      <c r="M124" s="80"/>
      <c r="N124" s="81"/>
      <c r="O124" s="133"/>
      <c r="P124" s="133"/>
      <c r="Q124" s="133"/>
      <c r="R124" s="133"/>
      <c r="S124" s="133"/>
      <c r="T124" s="133"/>
      <c r="U124" s="133" t="s">
        <v>468</v>
      </c>
      <c r="V124" s="133"/>
      <c r="W124" s="133"/>
      <c r="X124" s="133">
        <v>1</v>
      </c>
      <c r="Y124" s="145" t="s">
        <v>293</v>
      </c>
    </row>
    <row r="125" spans="1:25" ht="15">
      <c r="A125" s="89" t="s">
        <v>237</v>
      </c>
      <c r="B125" s="146" t="s">
        <v>296</v>
      </c>
      <c r="C125" s="133" t="s">
        <v>452</v>
      </c>
      <c r="D125" s="133" t="s">
        <v>452</v>
      </c>
      <c r="E125" s="133"/>
      <c r="F125" s="133"/>
      <c r="G125" s="154">
        <v>27.951947</v>
      </c>
      <c r="H125" s="133"/>
      <c r="I125" s="133"/>
      <c r="J125" s="128"/>
      <c r="K125" s="80"/>
      <c r="L125" s="81"/>
      <c r="M125" s="80"/>
      <c r="N125" s="81"/>
      <c r="O125" s="133"/>
      <c r="P125" s="133"/>
      <c r="Q125" s="133"/>
      <c r="R125" s="133"/>
      <c r="S125" s="133"/>
      <c r="T125" s="133"/>
      <c r="U125" s="133" t="s">
        <v>468</v>
      </c>
      <c r="V125" s="133"/>
      <c r="W125" s="133"/>
      <c r="X125" s="133">
        <v>1</v>
      </c>
      <c r="Y125" s="145" t="s">
        <v>295</v>
      </c>
    </row>
    <row r="126" spans="1:25" ht="15">
      <c r="A126" s="89" t="s">
        <v>237</v>
      </c>
      <c r="B126" s="146" t="s">
        <v>298</v>
      </c>
      <c r="C126" s="133" t="s">
        <v>452</v>
      </c>
      <c r="D126" s="133" t="s">
        <v>452</v>
      </c>
      <c r="E126" s="133"/>
      <c r="F126" s="133"/>
      <c r="G126" s="154">
        <v>27.572123</v>
      </c>
      <c r="H126" s="133"/>
      <c r="I126" s="133"/>
      <c r="J126" s="128"/>
      <c r="K126" s="80"/>
      <c r="L126" s="81"/>
      <c r="M126" s="80"/>
      <c r="N126" s="81"/>
      <c r="O126" s="133"/>
      <c r="P126" s="133"/>
      <c r="Q126" s="133"/>
      <c r="R126" s="133"/>
      <c r="S126" s="133"/>
      <c r="T126" s="133"/>
      <c r="U126" s="133" t="s">
        <v>468</v>
      </c>
      <c r="V126" s="133"/>
      <c r="W126" s="133"/>
      <c r="X126" s="133">
        <v>1</v>
      </c>
      <c r="Y126" s="145" t="s">
        <v>297</v>
      </c>
    </row>
    <row r="127" spans="1:25" ht="15">
      <c r="A127" s="89" t="s">
        <v>237</v>
      </c>
      <c r="B127" s="146" t="s">
        <v>300</v>
      </c>
      <c r="C127" s="133" t="s">
        <v>452</v>
      </c>
      <c r="D127" s="133" t="s">
        <v>452</v>
      </c>
      <c r="E127" s="133"/>
      <c r="F127" s="133"/>
      <c r="G127" s="154">
        <v>27.262125</v>
      </c>
      <c r="H127" s="133"/>
      <c r="I127" s="133"/>
      <c r="J127" s="128"/>
      <c r="K127" s="80"/>
      <c r="L127" s="81"/>
      <c r="M127" s="80"/>
      <c r="N127" s="81"/>
      <c r="O127" s="133"/>
      <c r="P127" s="133"/>
      <c r="Q127" s="133"/>
      <c r="R127" s="133"/>
      <c r="S127" s="133"/>
      <c r="T127" s="133"/>
      <c r="U127" s="133" t="s">
        <v>468</v>
      </c>
      <c r="V127" s="133"/>
      <c r="W127" s="133"/>
      <c r="X127" s="133">
        <v>1</v>
      </c>
      <c r="Y127" s="145" t="s">
        <v>299</v>
      </c>
    </row>
    <row r="128" spans="1:25" ht="15">
      <c r="A128" s="89" t="s">
        <v>237</v>
      </c>
      <c r="B128" s="146" t="s">
        <v>302</v>
      </c>
      <c r="C128" s="133" t="s">
        <v>452</v>
      </c>
      <c r="D128" s="133" t="s">
        <v>452</v>
      </c>
      <c r="E128" s="133"/>
      <c r="F128" s="133"/>
      <c r="G128" s="154">
        <v>27.2309</v>
      </c>
      <c r="H128" s="133"/>
      <c r="I128" s="133"/>
      <c r="J128" s="128"/>
      <c r="K128" s="80"/>
      <c r="L128" s="81"/>
      <c r="M128" s="80"/>
      <c r="N128" s="81"/>
      <c r="O128" s="133"/>
      <c r="P128" s="133"/>
      <c r="Q128" s="133"/>
      <c r="R128" s="133"/>
      <c r="S128" s="133"/>
      <c r="T128" s="133"/>
      <c r="U128" s="133" t="s">
        <v>468</v>
      </c>
      <c r="V128" s="133"/>
      <c r="W128" s="133"/>
      <c r="X128" s="133">
        <v>1</v>
      </c>
      <c r="Y128" s="145" t="s">
        <v>301</v>
      </c>
    </row>
    <row r="129" spans="1:25" ht="15">
      <c r="A129" s="89" t="s">
        <v>237</v>
      </c>
      <c r="B129" s="146" t="s">
        <v>304</v>
      </c>
      <c r="C129" s="133" t="s">
        <v>452</v>
      </c>
      <c r="D129" s="133" t="s">
        <v>452</v>
      </c>
      <c r="E129" s="133"/>
      <c r="F129" s="133"/>
      <c r="G129" s="154">
        <v>25.350594</v>
      </c>
      <c r="H129" s="133"/>
      <c r="I129" s="133"/>
      <c r="J129" s="128"/>
      <c r="K129" s="80"/>
      <c r="L129" s="81"/>
      <c r="M129" s="80"/>
      <c r="N129" s="81"/>
      <c r="O129" s="133"/>
      <c r="P129" s="133"/>
      <c r="Q129" s="133"/>
      <c r="R129" s="133"/>
      <c r="S129" s="133"/>
      <c r="T129" s="133"/>
      <c r="U129" s="133" t="s">
        <v>468</v>
      </c>
      <c r="V129" s="133"/>
      <c r="W129" s="133"/>
      <c r="X129" s="133">
        <v>1</v>
      </c>
      <c r="Y129" s="145" t="s">
        <v>303</v>
      </c>
    </row>
    <row r="130" spans="1:25" ht="15">
      <c r="A130" s="89" t="s">
        <v>237</v>
      </c>
      <c r="B130" s="146" t="s">
        <v>306</v>
      </c>
      <c r="C130" s="133" t="s">
        <v>452</v>
      </c>
      <c r="D130" s="133" t="s">
        <v>452</v>
      </c>
      <c r="E130" s="133"/>
      <c r="F130" s="133"/>
      <c r="G130" s="154">
        <v>25.321103</v>
      </c>
      <c r="H130" s="133"/>
      <c r="I130" s="133"/>
      <c r="J130" s="128"/>
      <c r="K130" s="80"/>
      <c r="L130" s="81"/>
      <c r="M130" s="80"/>
      <c r="N130" s="81"/>
      <c r="O130" s="133"/>
      <c r="P130" s="133"/>
      <c r="Q130" s="133"/>
      <c r="R130" s="133"/>
      <c r="S130" s="133"/>
      <c r="T130" s="133"/>
      <c r="U130" s="133" t="s">
        <v>468</v>
      </c>
      <c r="V130" s="133"/>
      <c r="W130" s="133"/>
      <c r="X130" s="133">
        <v>1</v>
      </c>
      <c r="Y130" s="145" t="s">
        <v>305</v>
      </c>
    </row>
    <row r="131" spans="1:25" ht="15">
      <c r="A131" s="89" t="s">
        <v>237</v>
      </c>
      <c r="B131" s="146" t="s">
        <v>308</v>
      </c>
      <c r="C131" s="133" t="s">
        <v>452</v>
      </c>
      <c r="D131" s="133" t="s">
        <v>452</v>
      </c>
      <c r="E131" s="133"/>
      <c r="F131" s="133"/>
      <c r="G131" s="154">
        <v>25.100412</v>
      </c>
      <c r="H131" s="133"/>
      <c r="I131" s="133"/>
      <c r="J131" s="128"/>
      <c r="K131" s="80"/>
      <c r="L131" s="81"/>
      <c r="M131" s="80"/>
      <c r="N131" s="81"/>
      <c r="O131" s="133"/>
      <c r="P131" s="133"/>
      <c r="Q131" s="133"/>
      <c r="R131" s="133"/>
      <c r="S131" s="133"/>
      <c r="T131" s="133"/>
      <c r="U131" s="133" t="s">
        <v>468</v>
      </c>
      <c r="V131" s="133"/>
      <c r="W131" s="133"/>
      <c r="X131" s="133">
        <v>1</v>
      </c>
      <c r="Y131" s="145" t="s">
        <v>307</v>
      </c>
    </row>
    <row r="132" spans="1:25" ht="15">
      <c r="A132" s="89" t="s">
        <v>237</v>
      </c>
      <c r="B132" s="146" t="s">
        <v>310</v>
      </c>
      <c r="C132" s="133" t="s">
        <v>452</v>
      </c>
      <c r="D132" s="133" t="s">
        <v>452</v>
      </c>
      <c r="E132" s="133"/>
      <c r="F132" s="133"/>
      <c r="G132" s="154">
        <v>24.65099</v>
      </c>
      <c r="H132" s="133"/>
      <c r="I132" s="133"/>
      <c r="J132" s="128"/>
      <c r="K132" s="80"/>
      <c r="L132" s="81"/>
      <c r="M132" s="80"/>
      <c r="N132" s="81"/>
      <c r="O132" s="133"/>
      <c r="P132" s="133"/>
      <c r="Q132" s="133"/>
      <c r="R132" s="133"/>
      <c r="S132" s="133"/>
      <c r="T132" s="133"/>
      <c r="U132" s="133" t="s">
        <v>468</v>
      </c>
      <c r="V132" s="133"/>
      <c r="W132" s="133"/>
      <c r="X132" s="133">
        <v>1</v>
      </c>
      <c r="Y132" s="145" t="s">
        <v>309</v>
      </c>
    </row>
    <row r="133" spans="1:25" ht="15">
      <c r="A133" s="89" t="s">
        <v>237</v>
      </c>
      <c r="B133" s="146" t="s">
        <v>312</v>
      </c>
      <c r="C133" s="133" t="s">
        <v>452</v>
      </c>
      <c r="D133" s="133" t="s">
        <v>452</v>
      </c>
      <c r="E133" s="133"/>
      <c r="F133" s="133"/>
      <c r="G133" s="154">
        <v>23.710519</v>
      </c>
      <c r="H133" s="133"/>
      <c r="I133" s="133"/>
      <c r="J133" s="128"/>
      <c r="K133" s="80"/>
      <c r="L133" s="81"/>
      <c r="M133" s="80"/>
      <c r="N133" s="81"/>
      <c r="O133" s="133"/>
      <c r="P133" s="133"/>
      <c r="Q133" s="133"/>
      <c r="R133" s="133"/>
      <c r="S133" s="133"/>
      <c r="T133" s="133"/>
      <c r="U133" s="133" t="s">
        <v>468</v>
      </c>
      <c r="V133" s="133"/>
      <c r="W133" s="133"/>
      <c r="X133" s="133">
        <v>1</v>
      </c>
      <c r="Y133" s="145" t="s">
        <v>311</v>
      </c>
    </row>
    <row r="134" spans="1:25" ht="15">
      <c r="A134" s="89" t="s">
        <v>237</v>
      </c>
      <c r="B134" s="146" t="s">
        <v>314</v>
      </c>
      <c r="C134" s="133" t="s">
        <v>452</v>
      </c>
      <c r="D134" s="133" t="s">
        <v>452</v>
      </c>
      <c r="E134" s="133"/>
      <c r="F134" s="133"/>
      <c r="G134" s="154">
        <v>23.353419</v>
      </c>
      <c r="H134" s="133"/>
      <c r="I134" s="133"/>
      <c r="J134" s="128"/>
      <c r="K134" s="80"/>
      <c r="L134" s="81"/>
      <c r="M134" s="80"/>
      <c r="N134" s="81"/>
      <c r="O134" s="133"/>
      <c r="P134" s="133"/>
      <c r="Q134" s="133"/>
      <c r="R134" s="133"/>
      <c r="S134" s="133"/>
      <c r="T134" s="133"/>
      <c r="U134" s="133" t="s">
        <v>468</v>
      </c>
      <c r="V134" s="133"/>
      <c r="W134" s="133"/>
      <c r="X134" s="133">
        <v>1</v>
      </c>
      <c r="Y134" s="145" t="s">
        <v>313</v>
      </c>
    </row>
    <row r="135" spans="1:25" ht="15">
      <c r="A135" s="89" t="s">
        <v>237</v>
      </c>
      <c r="B135" s="146" t="s">
        <v>316</v>
      </c>
      <c r="C135" s="133" t="s">
        <v>452</v>
      </c>
      <c r="D135" s="133" t="s">
        <v>452</v>
      </c>
      <c r="E135" s="133"/>
      <c r="F135" s="133"/>
      <c r="G135" s="154">
        <v>22.989583</v>
      </c>
      <c r="H135" s="133"/>
      <c r="I135" s="133"/>
      <c r="J135" s="128"/>
      <c r="K135" s="80"/>
      <c r="L135" s="81"/>
      <c r="M135" s="80"/>
      <c r="N135" s="81"/>
      <c r="O135" s="133"/>
      <c r="P135" s="133"/>
      <c r="Q135" s="133"/>
      <c r="R135" s="133"/>
      <c r="S135" s="133"/>
      <c r="T135" s="133"/>
      <c r="U135" s="133" t="s">
        <v>468</v>
      </c>
      <c r="V135" s="133"/>
      <c r="W135" s="133"/>
      <c r="X135" s="133">
        <v>1</v>
      </c>
      <c r="Y135" s="145" t="s">
        <v>315</v>
      </c>
    </row>
    <row r="136" spans="1:25" ht="15">
      <c r="A136" s="89" t="s">
        <v>237</v>
      </c>
      <c r="B136" s="146" t="s">
        <v>318</v>
      </c>
      <c r="C136" s="133" t="s">
        <v>452</v>
      </c>
      <c r="D136" s="133" t="s">
        <v>452</v>
      </c>
      <c r="E136" s="133"/>
      <c r="F136" s="133"/>
      <c r="G136" s="154">
        <v>22.881341</v>
      </c>
      <c r="H136" s="133"/>
      <c r="I136" s="133"/>
      <c r="J136" s="128"/>
      <c r="K136" s="80"/>
      <c r="L136" s="81"/>
      <c r="M136" s="80"/>
      <c r="N136" s="81"/>
      <c r="O136" s="133"/>
      <c r="P136" s="133"/>
      <c r="Q136" s="133"/>
      <c r="R136" s="133"/>
      <c r="S136" s="133"/>
      <c r="T136" s="133"/>
      <c r="U136" s="133" t="s">
        <v>468</v>
      </c>
      <c r="V136" s="133"/>
      <c r="W136" s="133"/>
      <c r="X136" s="133">
        <v>1</v>
      </c>
      <c r="Y136" s="145" t="s">
        <v>317</v>
      </c>
    </row>
    <row r="137" spans="1:25" ht="15">
      <c r="A137" s="89" t="s">
        <v>237</v>
      </c>
      <c r="B137" s="146" t="s">
        <v>320</v>
      </c>
      <c r="C137" s="133" t="s">
        <v>454</v>
      </c>
      <c r="D137" s="133" t="s">
        <v>454</v>
      </c>
      <c r="E137" s="133"/>
      <c r="F137" s="133"/>
      <c r="G137" s="154">
        <v>22.282532</v>
      </c>
      <c r="H137" s="133"/>
      <c r="I137" s="133"/>
      <c r="J137" s="128"/>
      <c r="K137" s="80"/>
      <c r="L137" s="81"/>
      <c r="M137" s="80"/>
      <c r="N137" s="81"/>
      <c r="O137" s="133"/>
      <c r="P137" s="133"/>
      <c r="Q137" s="133"/>
      <c r="R137" s="133"/>
      <c r="S137" s="133"/>
      <c r="T137" s="133"/>
      <c r="U137" s="133" t="s">
        <v>468</v>
      </c>
      <c r="V137" s="133"/>
      <c r="W137" s="133"/>
      <c r="X137" s="133">
        <v>1</v>
      </c>
      <c r="Y137" s="145" t="s">
        <v>319</v>
      </c>
    </row>
    <row r="138" spans="1:25" ht="15">
      <c r="A138" s="89" t="s">
        <v>237</v>
      </c>
      <c r="B138" s="146" t="s">
        <v>322</v>
      </c>
      <c r="C138" s="133" t="s">
        <v>452</v>
      </c>
      <c r="D138" s="133" t="s">
        <v>452</v>
      </c>
      <c r="E138" s="133"/>
      <c r="F138" s="133"/>
      <c r="G138" s="154">
        <v>21.150222</v>
      </c>
      <c r="H138" s="133"/>
      <c r="I138" s="133"/>
      <c r="J138" s="128"/>
      <c r="K138" s="80"/>
      <c r="L138" s="81"/>
      <c r="M138" s="80"/>
      <c r="N138" s="81"/>
      <c r="O138" s="133"/>
      <c r="P138" s="133"/>
      <c r="Q138" s="133"/>
      <c r="R138" s="133"/>
      <c r="S138" s="133"/>
      <c r="T138" s="133"/>
      <c r="U138" s="133" t="s">
        <v>468</v>
      </c>
      <c r="V138" s="133"/>
      <c r="W138" s="133"/>
      <c r="X138" s="133">
        <v>1</v>
      </c>
      <c r="Y138" s="145" t="s">
        <v>321</v>
      </c>
    </row>
    <row r="139" spans="1:25" ht="15">
      <c r="A139" s="89" t="s">
        <v>237</v>
      </c>
      <c r="B139" s="146" t="s">
        <v>324</v>
      </c>
      <c r="C139" s="133" t="s">
        <v>452</v>
      </c>
      <c r="D139" s="133" t="s">
        <v>452</v>
      </c>
      <c r="E139" s="133"/>
      <c r="F139" s="133"/>
      <c r="G139" s="154">
        <v>21.032912</v>
      </c>
      <c r="H139" s="133"/>
      <c r="I139" s="133"/>
      <c r="J139" s="128"/>
      <c r="K139" s="80"/>
      <c r="L139" s="81"/>
      <c r="M139" s="80"/>
      <c r="N139" s="81"/>
      <c r="O139" s="133"/>
      <c r="P139" s="133"/>
      <c r="Q139" s="133"/>
      <c r="R139" s="133"/>
      <c r="S139" s="133"/>
      <c r="T139" s="133"/>
      <c r="U139" s="133" t="s">
        <v>468</v>
      </c>
      <c r="V139" s="133"/>
      <c r="W139" s="133"/>
      <c r="X139" s="133">
        <v>1</v>
      </c>
      <c r="Y139" s="145" t="s">
        <v>323</v>
      </c>
    </row>
    <row r="140" spans="1:25" ht="15">
      <c r="A140" s="89" t="s">
        <v>237</v>
      </c>
      <c r="B140" s="146" t="s">
        <v>326</v>
      </c>
      <c r="C140" s="133" t="s">
        <v>452</v>
      </c>
      <c r="D140" s="133" t="s">
        <v>452</v>
      </c>
      <c r="E140" s="133"/>
      <c r="F140" s="133"/>
      <c r="G140" s="154">
        <v>20.817625</v>
      </c>
      <c r="H140" s="133"/>
      <c r="I140" s="133"/>
      <c r="J140" s="128"/>
      <c r="K140" s="80"/>
      <c r="L140" s="81"/>
      <c r="M140" s="80"/>
      <c r="N140" s="81"/>
      <c r="O140" s="133"/>
      <c r="P140" s="133"/>
      <c r="Q140" s="133"/>
      <c r="R140" s="133"/>
      <c r="S140" s="133"/>
      <c r="T140" s="133"/>
      <c r="U140" s="133" t="s">
        <v>468</v>
      </c>
      <c r="V140" s="133"/>
      <c r="W140" s="133"/>
      <c r="X140" s="133">
        <v>1</v>
      </c>
      <c r="Y140" s="145" t="s">
        <v>325</v>
      </c>
    </row>
    <row r="141" spans="1:25" ht="15">
      <c r="A141" s="89" t="s">
        <v>237</v>
      </c>
      <c r="B141" s="146" t="s">
        <v>328</v>
      </c>
      <c r="C141" s="133" t="s">
        <v>452</v>
      </c>
      <c r="D141" s="133" t="s">
        <v>452</v>
      </c>
      <c r="E141" s="133"/>
      <c r="F141" s="133"/>
      <c r="G141" s="154">
        <v>18.718008</v>
      </c>
      <c r="H141" s="133"/>
      <c r="I141" s="133"/>
      <c r="J141" s="128"/>
      <c r="K141" s="80"/>
      <c r="L141" s="81"/>
      <c r="M141" s="80"/>
      <c r="N141" s="81"/>
      <c r="O141" s="133"/>
      <c r="P141" s="133"/>
      <c r="Q141" s="133"/>
      <c r="R141" s="133"/>
      <c r="S141" s="133"/>
      <c r="T141" s="133"/>
      <c r="U141" s="133" t="s">
        <v>468</v>
      </c>
      <c r="V141" s="133"/>
      <c r="W141" s="133"/>
      <c r="X141" s="133">
        <v>1</v>
      </c>
      <c r="Y141" s="145" t="s">
        <v>327</v>
      </c>
    </row>
    <row r="142" spans="1:25" ht="15">
      <c r="A142" s="89" t="s">
        <v>237</v>
      </c>
      <c r="B142" s="146" t="s">
        <v>330</v>
      </c>
      <c r="C142" s="133" t="s">
        <v>452</v>
      </c>
      <c r="D142" s="133" t="s">
        <v>452</v>
      </c>
      <c r="E142" s="133"/>
      <c r="F142" s="133"/>
      <c r="G142" s="154">
        <v>18.684974</v>
      </c>
      <c r="H142" s="133"/>
      <c r="I142" s="133"/>
      <c r="J142" s="128"/>
      <c r="K142" s="80"/>
      <c r="L142" s="81"/>
      <c r="M142" s="80"/>
      <c r="N142" s="81"/>
      <c r="O142" s="133"/>
      <c r="P142" s="133"/>
      <c r="Q142" s="133"/>
      <c r="R142" s="133"/>
      <c r="S142" s="133"/>
      <c r="T142" s="133"/>
      <c r="U142" s="133" t="s">
        <v>468</v>
      </c>
      <c r="V142" s="133"/>
      <c r="W142" s="133"/>
      <c r="X142" s="133">
        <v>1</v>
      </c>
      <c r="Y142" s="145" t="s">
        <v>329</v>
      </c>
    </row>
    <row r="143" spans="1:25" ht="15">
      <c r="A143" s="89" t="s">
        <v>237</v>
      </c>
      <c r="B143" s="146" t="s">
        <v>332</v>
      </c>
      <c r="C143" s="133" t="s">
        <v>452</v>
      </c>
      <c r="D143" s="133" t="s">
        <v>452</v>
      </c>
      <c r="E143" s="133"/>
      <c r="F143" s="133"/>
      <c r="G143" s="154">
        <v>17.425543</v>
      </c>
      <c r="H143" s="133"/>
      <c r="I143" s="133"/>
      <c r="J143" s="128"/>
      <c r="K143" s="80"/>
      <c r="L143" s="81"/>
      <c r="M143" s="80"/>
      <c r="N143" s="81"/>
      <c r="O143" s="133"/>
      <c r="P143" s="133"/>
      <c r="Q143" s="133"/>
      <c r="R143" s="133"/>
      <c r="S143" s="133"/>
      <c r="T143" s="133"/>
      <c r="U143" s="133" t="s">
        <v>468</v>
      </c>
      <c r="V143" s="133"/>
      <c r="W143" s="133"/>
      <c r="X143" s="133">
        <v>1</v>
      </c>
      <c r="Y143" s="145" t="s">
        <v>331</v>
      </c>
    </row>
    <row r="144" spans="1:25" ht="15">
      <c r="A144" s="89" t="s">
        <v>237</v>
      </c>
      <c r="B144" s="146" t="s">
        <v>334</v>
      </c>
      <c r="C144" s="133" t="s">
        <v>452</v>
      </c>
      <c r="D144" s="133" t="s">
        <v>452</v>
      </c>
      <c r="E144" s="133"/>
      <c r="F144" s="133"/>
      <c r="G144" s="154">
        <v>16.496467</v>
      </c>
      <c r="H144" s="133"/>
      <c r="I144" s="133"/>
      <c r="J144" s="128"/>
      <c r="K144" s="80"/>
      <c r="L144" s="81"/>
      <c r="M144" s="80"/>
      <c r="N144" s="81"/>
      <c r="O144" s="133"/>
      <c r="P144" s="133"/>
      <c r="Q144" s="133"/>
      <c r="R144" s="133"/>
      <c r="S144" s="133"/>
      <c r="T144" s="133"/>
      <c r="U144" s="133" t="s">
        <v>468</v>
      </c>
      <c r="V144" s="133"/>
      <c r="W144" s="133"/>
      <c r="X144" s="133">
        <v>1</v>
      </c>
      <c r="Y144" s="145" t="s">
        <v>333</v>
      </c>
    </row>
    <row r="145" spans="1:25" ht="15">
      <c r="A145" s="89" t="s">
        <v>237</v>
      </c>
      <c r="B145" s="146" t="s">
        <v>336</v>
      </c>
      <c r="C145" s="133" t="s">
        <v>452</v>
      </c>
      <c r="D145" s="133" t="s">
        <v>452</v>
      </c>
      <c r="E145" s="133"/>
      <c r="F145" s="133"/>
      <c r="G145" s="154">
        <v>13.27445</v>
      </c>
      <c r="H145" s="133"/>
      <c r="I145" s="133"/>
      <c r="J145" s="128"/>
      <c r="K145" s="80"/>
      <c r="L145" s="81"/>
      <c r="M145" s="80"/>
      <c r="N145" s="81"/>
      <c r="O145" s="133"/>
      <c r="P145" s="133"/>
      <c r="Q145" s="133"/>
      <c r="R145" s="133"/>
      <c r="S145" s="133"/>
      <c r="T145" s="133"/>
      <c r="U145" s="133" t="s">
        <v>468</v>
      </c>
      <c r="V145" s="133"/>
      <c r="W145" s="133"/>
      <c r="X145" s="133">
        <v>1</v>
      </c>
      <c r="Y145" s="145" t="s">
        <v>335</v>
      </c>
    </row>
    <row r="146" spans="1:25" ht="15">
      <c r="A146" s="89" t="s">
        <v>237</v>
      </c>
      <c r="B146" s="146" t="s">
        <v>338</v>
      </c>
      <c r="C146" s="133" t="s">
        <v>452</v>
      </c>
      <c r="D146" s="133" t="s">
        <v>452</v>
      </c>
      <c r="E146" s="133"/>
      <c r="F146" s="133"/>
      <c r="G146" s="154">
        <v>12.840708</v>
      </c>
      <c r="H146" s="133"/>
      <c r="I146" s="133"/>
      <c r="J146" s="128"/>
      <c r="K146" s="80"/>
      <c r="L146" s="81"/>
      <c r="M146" s="80"/>
      <c r="N146" s="81"/>
      <c r="O146" s="133"/>
      <c r="P146" s="133"/>
      <c r="Q146" s="133"/>
      <c r="R146" s="133"/>
      <c r="S146" s="133"/>
      <c r="T146" s="133"/>
      <c r="U146" s="133" t="s">
        <v>468</v>
      </c>
      <c r="V146" s="133"/>
      <c r="W146" s="133"/>
      <c r="X146" s="133">
        <v>2</v>
      </c>
      <c r="Y146" s="145" t="s">
        <v>337</v>
      </c>
    </row>
    <row r="147" spans="1:25" ht="15">
      <c r="A147" s="89" t="s">
        <v>237</v>
      </c>
      <c r="B147" s="146" t="s">
        <v>340</v>
      </c>
      <c r="C147" s="133" t="s">
        <v>452</v>
      </c>
      <c r="D147" s="133" t="s">
        <v>452</v>
      </c>
      <c r="E147" s="133"/>
      <c r="F147" s="133"/>
      <c r="G147" s="154">
        <v>12.554436</v>
      </c>
      <c r="H147" s="133"/>
      <c r="I147" s="133"/>
      <c r="J147" s="128"/>
      <c r="K147" s="80"/>
      <c r="L147" s="81"/>
      <c r="M147" s="80"/>
      <c r="N147" s="81"/>
      <c r="O147" s="133"/>
      <c r="P147" s="133"/>
      <c r="Q147" s="133"/>
      <c r="R147" s="133"/>
      <c r="S147" s="133"/>
      <c r="T147" s="133"/>
      <c r="U147" s="133" t="s">
        <v>468</v>
      </c>
      <c r="V147" s="133"/>
      <c r="W147" s="133"/>
      <c r="X147" s="133">
        <v>3</v>
      </c>
      <c r="Y147" s="145" t="s">
        <v>339</v>
      </c>
    </row>
    <row r="148" spans="1:25" ht="15">
      <c r="A148" s="89" t="s">
        <v>237</v>
      </c>
      <c r="B148" s="146" t="s">
        <v>342</v>
      </c>
      <c r="C148" s="133" t="s">
        <v>452</v>
      </c>
      <c r="D148" s="133" t="s">
        <v>452</v>
      </c>
      <c r="E148" s="133"/>
      <c r="F148" s="133"/>
      <c r="G148" s="154">
        <v>12.507841</v>
      </c>
      <c r="H148" s="133"/>
      <c r="I148" s="133"/>
      <c r="J148" s="128"/>
      <c r="K148" s="80"/>
      <c r="L148" s="81"/>
      <c r="M148" s="80"/>
      <c r="N148" s="81"/>
      <c r="O148" s="133"/>
      <c r="P148" s="133"/>
      <c r="Q148" s="133"/>
      <c r="R148" s="133"/>
      <c r="S148" s="133"/>
      <c r="T148" s="133"/>
      <c r="U148" s="133" t="s">
        <v>468</v>
      </c>
      <c r="V148" s="133"/>
      <c r="W148" s="133"/>
      <c r="X148" s="133">
        <v>4</v>
      </c>
      <c r="Y148" s="145" t="s">
        <v>341</v>
      </c>
    </row>
    <row r="149" spans="1:25" ht="15">
      <c r="A149" s="89" t="s">
        <v>237</v>
      </c>
      <c r="B149" s="146" t="s">
        <v>344</v>
      </c>
      <c r="C149" s="133" t="s">
        <v>452</v>
      </c>
      <c r="D149" s="133" t="s">
        <v>452</v>
      </c>
      <c r="E149" s="133"/>
      <c r="F149" s="133"/>
      <c r="G149" s="154">
        <v>12.378773</v>
      </c>
      <c r="H149" s="133"/>
      <c r="I149" s="133"/>
      <c r="J149" s="128"/>
      <c r="K149" s="80"/>
      <c r="L149" s="81"/>
      <c r="M149" s="80"/>
      <c r="N149" s="81"/>
      <c r="O149" s="133"/>
      <c r="P149" s="133"/>
      <c r="Q149" s="133"/>
      <c r="R149" s="133"/>
      <c r="S149" s="133"/>
      <c r="T149" s="133"/>
      <c r="U149" s="133" t="s">
        <v>468</v>
      </c>
      <c r="V149" s="133"/>
      <c r="W149" s="133"/>
      <c r="X149" s="133">
        <v>5</v>
      </c>
      <c r="Y149" s="145" t="s">
        <v>343</v>
      </c>
    </row>
    <row r="150" spans="1:25" ht="15">
      <c r="A150" s="89" t="s">
        <v>237</v>
      </c>
      <c r="B150" s="146" t="s">
        <v>346</v>
      </c>
      <c r="C150" s="133" t="s">
        <v>452</v>
      </c>
      <c r="D150" s="133" t="s">
        <v>452</v>
      </c>
      <c r="E150" s="133"/>
      <c r="F150" s="133"/>
      <c r="G150" s="154">
        <v>10.492635</v>
      </c>
      <c r="H150" s="133"/>
      <c r="I150" s="133"/>
      <c r="J150" s="128"/>
      <c r="K150" s="80"/>
      <c r="L150" s="81"/>
      <c r="M150" s="80"/>
      <c r="N150" s="81"/>
      <c r="O150" s="133"/>
      <c r="P150" s="133"/>
      <c r="Q150" s="133"/>
      <c r="R150" s="133"/>
      <c r="S150" s="133"/>
      <c r="T150" s="133"/>
      <c r="U150" s="133" t="s">
        <v>468</v>
      </c>
      <c r="V150" s="133"/>
      <c r="W150" s="133"/>
      <c r="X150" s="133">
        <v>1</v>
      </c>
      <c r="Y150" s="145" t="s">
        <v>345</v>
      </c>
    </row>
    <row r="151" spans="1:25" ht="15">
      <c r="A151" s="89" t="s">
        <v>237</v>
      </c>
      <c r="B151" s="146" t="s">
        <v>348</v>
      </c>
      <c r="C151" s="133" t="s">
        <v>452</v>
      </c>
      <c r="D151" s="133" t="s">
        <v>452</v>
      </c>
      <c r="E151" s="133"/>
      <c r="F151" s="133"/>
      <c r="G151" s="154">
        <v>10.291151</v>
      </c>
      <c r="H151" s="133"/>
      <c r="I151" s="133"/>
      <c r="J151" s="128"/>
      <c r="K151" s="80"/>
      <c r="L151" s="81"/>
      <c r="M151" s="80"/>
      <c r="N151" s="81"/>
      <c r="O151" s="133"/>
      <c r="P151" s="133"/>
      <c r="Q151" s="133"/>
      <c r="R151" s="133"/>
      <c r="S151" s="133"/>
      <c r="T151" s="133"/>
      <c r="U151" s="133" t="s">
        <v>468</v>
      </c>
      <c r="V151" s="133"/>
      <c r="W151" s="133"/>
      <c r="X151" s="133">
        <v>1</v>
      </c>
      <c r="Y151" s="145" t="s">
        <v>347</v>
      </c>
    </row>
    <row r="152" spans="1:25" ht="15">
      <c r="A152" s="89" t="s">
        <v>237</v>
      </c>
      <c r="B152" s="146" t="s">
        <v>350</v>
      </c>
      <c r="C152" s="133" t="s">
        <v>452</v>
      </c>
      <c r="D152" s="133" t="s">
        <v>452</v>
      </c>
      <c r="E152" s="133"/>
      <c r="F152" s="133"/>
      <c r="G152" s="154">
        <v>8.732145</v>
      </c>
      <c r="H152" s="133"/>
      <c r="I152" s="133"/>
      <c r="J152" s="128"/>
      <c r="K152" s="80"/>
      <c r="L152" s="81"/>
      <c r="M152" s="80"/>
      <c r="N152" s="81"/>
      <c r="O152" s="133"/>
      <c r="P152" s="133"/>
      <c r="Q152" s="133"/>
      <c r="R152" s="133"/>
      <c r="S152" s="133"/>
      <c r="T152" s="133"/>
      <c r="U152" s="133" t="s">
        <v>468</v>
      </c>
      <c r="V152" s="133"/>
      <c r="W152" s="133"/>
      <c r="X152" s="133">
        <v>1</v>
      </c>
      <c r="Y152" s="145" t="s">
        <v>349</v>
      </c>
    </row>
    <row r="153" spans="1:25" ht="15">
      <c r="A153" s="89" t="s">
        <v>237</v>
      </c>
      <c r="B153" s="146" t="s">
        <v>352</v>
      </c>
      <c r="C153" s="133" t="s">
        <v>452</v>
      </c>
      <c r="D153" s="133" t="s">
        <v>452</v>
      </c>
      <c r="E153" s="133"/>
      <c r="F153" s="133"/>
      <c r="G153" s="154">
        <v>8.286272</v>
      </c>
      <c r="H153" s="133"/>
      <c r="I153" s="133"/>
      <c r="J153" s="128"/>
      <c r="K153" s="80"/>
      <c r="L153" s="81"/>
      <c r="M153" s="80"/>
      <c r="N153" s="81"/>
      <c r="O153" s="133"/>
      <c r="P153" s="133"/>
      <c r="Q153" s="133"/>
      <c r="R153" s="133"/>
      <c r="S153" s="133"/>
      <c r="T153" s="133"/>
      <c r="U153" s="133" t="s">
        <v>468</v>
      </c>
      <c r="V153" s="133"/>
      <c r="W153" s="133"/>
      <c r="X153" s="133">
        <v>1</v>
      </c>
      <c r="Y153" s="145" t="s">
        <v>351</v>
      </c>
    </row>
    <row r="154" spans="1:25" ht="15">
      <c r="A154" s="89" t="s">
        <v>237</v>
      </c>
      <c r="B154" s="146" t="s">
        <v>354</v>
      </c>
      <c r="C154" s="133" t="s">
        <v>455</v>
      </c>
      <c r="D154" s="133" t="s">
        <v>455</v>
      </c>
      <c r="E154" s="133"/>
      <c r="F154" s="133"/>
      <c r="G154" s="154">
        <v>7.884294</v>
      </c>
      <c r="H154" s="133"/>
      <c r="I154" s="133"/>
      <c r="J154" s="128"/>
      <c r="K154" s="80"/>
      <c r="L154" s="81"/>
      <c r="M154" s="80"/>
      <c r="N154" s="81"/>
      <c r="O154" s="133"/>
      <c r="P154" s="133"/>
      <c r="Q154" s="133"/>
      <c r="R154" s="133"/>
      <c r="S154" s="133"/>
      <c r="T154" s="133"/>
      <c r="U154" s="133" t="s">
        <v>468</v>
      </c>
      <c r="V154" s="133"/>
      <c r="W154" s="133"/>
      <c r="X154" s="133">
        <v>1</v>
      </c>
      <c r="Y154" s="145" t="s">
        <v>353</v>
      </c>
    </row>
    <row r="155" spans="1:25" ht="15">
      <c r="A155" s="89" t="s">
        <v>237</v>
      </c>
      <c r="B155" s="146" t="s">
        <v>356</v>
      </c>
      <c r="C155" s="133" t="s">
        <v>452</v>
      </c>
      <c r="D155" s="133" t="s">
        <v>452</v>
      </c>
      <c r="E155" s="133"/>
      <c r="F155" s="133"/>
      <c r="G155" s="154">
        <v>7.655816</v>
      </c>
      <c r="H155" s="133"/>
      <c r="I155" s="133"/>
      <c r="J155" s="128"/>
      <c r="K155" s="80"/>
      <c r="L155" s="81"/>
      <c r="M155" s="80"/>
      <c r="N155" s="81"/>
      <c r="O155" s="133"/>
      <c r="P155" s="133"/>
      <c r="Q155" s="133"/>
      <c r="R155" s="133"/>
      <c r="S155" s="133"/>
      <c r="T155" s="133"/>
      <c r="U155" s="133" t="s">
        <v>468</v>
      </c>
      <c r="V155" s="133"/>
      <c r="W155" s="133"/>
      <c r="X155" s="133">
        <v>1</v>
      </c>
      <c r="Y155" s="145" t="s">
        <v>355</v>
      </c>
    </row>
    <row r="156" spans="1:25" ht="15">
      <c r="A156" s="89" t="s">
        <v>237</v>
      </c>
      <c r="B156" s="146" t="s">
        <v>358</v>
      </c>
      <c r="C156" s="133" t="s">
        <v>452</v>
      </c>
      <c r="D156" s="133" t="s">
        <v>452</v>
      </c>
      <c r="E156" s="133"/>
      <c r="F156" s="133"/>
      <c r="G156" s="154">
        <v>7.337208</v>
      </c>
      <c r="H156" s="133"/>
      <c r="I156" s="133"/>
      <c r="J156" s="128"/>
      <c r="K156" s="80"/>
      <c r="L156" s="81"/>
      <c r="M156" s="80"/>
      <c r="N156" s="81"/>
      <c r="O156" s="133"/>
      <c r="P156" s="133"/>
      <c r="Q156" s="133"/>
      <c r="R156" s="133"/>
      <c r="S156" s="133"/>
      <c r="T156" s="133"/>
      <c r="U156" s="133" t="s">
        <v>468</v>
      </c>
      <c r="V156" s="133"/>
      <c r="W156" s="133"/>
      <c r="X156" s="133">
        <v>2</v>
      </c>
      <c r="Y156" s="145" t="s">
        <v>357</v>
      </c>
    </row>
    <row r="157" spans="1:25" ht="15">
      <c r="A157" s="89" t="s">
        <v>237</v>
      </c>
      <c r="B157" s="146" t="s">
        <v>360</v>
      </c>
      <c r="C157" s="133" t="s">
        <v>452</v>
      </c>
      <c r="D157" s="133" t="s">
        <v>452</v>
      </c>
      <c r="E157" s="133"/>
      <c r="F157" s="133"/>
      <c r="G157" s="154">
        <v>6.340876</v>
      </c>
      <c r="H157" s="133"/>
      <c r="I157" s="133"/>
      <c r="J157" s="128"/>
      <c r="K157" s="80"/>
      <c r="L157" s="81"/>
      <c r="M157" s="80"/>
      <c r="N157" s="81"/>
      <c r="O157" s="133"/>
      <c r="P157" s="133"/>
      <c r="Q157" s="133"/>
      <c r="R157" s="133"/>
      <c r="S157" s="133"/>
      <c r="T157" s="133"/>
      <c r="U157" s="133" t="s">
        <v>468</v>
      </c>
      <c r="V157" s="133"/>
      <c r="W157" s="133"/>
      <c r="X157" s="133">
        <v>1</v>
      </c>
      <c r="Y157" s="145" t="s">
        <v>359</v>
      </c>
    </row>
    <row r="158" spans="1:25" ht="15">
      <c r="A158" s="89" t="s">
        <v>237</v>
      </c>
      <c r="B158" s="146" t="s">
        <v>362</v>
      </c>
      <c r="C158" s="133" t="s">
        <v>448</v>
      </c>
      <c r="D158" s="133" t="s">
        <v>448</v>
      </c>
      <c r="E158" s="133"/>
      <c r="F158" s="133"/>
      <c r="G158" s="154">
        <v>5.901752</v>
      </c>
      <c r="H158" s="133"/>
      <c r="I158" s="133"/>
      <c r="J158" s="128"/>
      <c r="K158" s="80"/>
      <c r="L158" s="81"/>
      <c r="M158" s="80"/>
      <c r="N158" s="81"/>
      <c r="O158" s="133"/>
      <c r="P158" s="133"/>
      <c r="Q158" s="133"/>
      <c r="R158" s="133"/>
      <c r="S158" s="133"/>
      <c r="T158" s="133"/>
      <c r="U158" s="133" t="s">
        <v>468</v>
      </c>
      <c r="V158" s="133"/>
      <c r="W158" s="133"/>
      <c r="X158" s="133">
        <v>1</v>
      </c>
      <c r="Y158" s="145" t="s">
        <v>361</v>
      </c>
    </row>
    <row r="159" spans="1:25" ht="15">
      <c r="A159" s="89" t="s">
        <v>237</v>
      </c>
      <c r="B159" s="146" t="s">
        <v>364</v>
      </c>
      <c r="C159" s="133" t="s">
        <v>454</v>
      </c>
      <c r="D159" s="133" t="s">
        <v>454</v>
      </c>
      <c r="E159" s="133"/>
      <c r="F159" s="133"/>
      <c r="G159" s="154">
        <v>4.447669</v>
      </c>
      <c r="H159" s="133"/>
      <c r="I159" s="133"/>
      <c r="J159" s="128"/>
      <c r="K159" s="80"/>
      <c r="L159" s="81"/>
      <c r="M159" s="80"/>
      <c r="N159" s="81"/>
      <c r="O159" s="133"/>
      <c r="P159" s="133"/>
      <c r="Q159" s="133"/>
      <c r="R159" s="133"/>
      <c r="S159" s="133"/>
      <c r="T159" s="133"/>
      <c r="U159" s="133" t="s">
        <v>468</v>
      </c>
      <c r="V159" s="133"/>
      <c r="W159" s="133"/>
      <c r="X159" s="133">
        <v>1</v>
      </c>
      <c r="Y159" s="145" t="s">
        <v>363</v>
      </c>
    </row>
    <row r="160" spans="1:25" ht="15">
      <c r="A160" s="89" t="s">
        <v>237</v>
      </c>
      <c r="B160" s="146" t="s">
        <v>366</v>
      </c>
      <c r="C160" s="133" t="s">
        <v>452</v>
      </c>
      <c r="D160" s="133" t="s">
        <v>452</v>
      </c>
      <c r="E160" s="133"/>
      <c r="F160" s="133"/>
      <c r="G160" s="154">
        <v>4</v>
      </c>
      <c r="H160" s="133"/>
      <c r="I160" s="133"/>
      <c r="J160" s="128"/>
      <c r="K160" s="80"/>
      <c r="L160" s="81"/>
      <c r="M160" s="80"/>
      <c r="N160" s="81"/>
      <c r="O160" s="133"/>
      <c r="P160" s="133"/>
      <c r="Q160" s="133"/>
      <c r="R160" s="133"/>
      <c r="S160" s="133"/>
      <c r="T160" s="133"/>
      <c r="U160" s="133" t="s">
        <v>468</v>
      </c>
      <c r="V160" s="133"/>
      <c r="W160" s="133"/>
      <c r="X160" s="133">
        <v>1</v>
      </c>
      <c r="Y160" s="145" t="s">
        <v>365</v>
      </c>
    </row>
    <row r="161" spans="1:25" ht="15">
      <c r="A161" s="89" t="s">
        <v>237</v>
      </c>
      <c r="B161" s="146" t="s">
        <v>368</v>
      </c>
      <c r="C161" s="133" t="s">
        <v>456</v>
      </c>
      <c r="D161" s="133" t="s">
        <v>456</v>
      </c>
      <c r="E161" s="133"/>
      <c r="F161" s="133"/>
      <c r="G161" s="154">
        <v>2.737335</v>
      </c>
      <c r="H161" s="133"/>
      <c r="I161" s="133"/>
      <c r="J161" s="128"/>
      <c r="K161" s="80"/>
      <c r="L161" s="81"/>
      <c r="M161" s="80"/>
      <c r="N161" s="81"/>
      <c r="O161" s="133"/>
      <c r="P161" s="133"/>
      <c r="Q161" s="133"/>
      <c r="R161" s="133"/>
      <c r="S161" s="133"/>
      <c r="T161" s="133"/>
      <c r="U161" s="133" t="s">
        <v>468</v>
      </c>
      <c r="V161" s="133"/>
      <c r="W161" s="133"/>
      <c r="X161" s="133">
        <v>1</v>
      </c>
      <c r="Y161" s="145" t="s">
        <v>367</v>
      </c>
    </row>
    <row r="162" spans="1:25" ht="15">
      <c r="A162" s="89" t="s">
        <v>237</v>
      </c>
      <c r="B162" s="146" t="s">
        <v>370</v>
      </c>
      <c r="C162" s="133" t="s">
        <v>455</v>
      </c>
      <c r="D162" s="133" t="s">
        <v>455</v>
      </c>
      <c r="E162" s="133"/>
      <c r="F162" s="133"/>
      <c r="G162" s="154">
        <v>1.153488</v>
      </c>
      <c r="H162" s="133"/>
      <c r="I162" s="133"/>
      <c r="J162" s="128"/>
      <c r="K162" s="80"/>
      <c r="L162" s="81"/>
      <c r="M162" s="80"/>
      <c r="N162" s="81"/>
      <c r="O162" s="133"/>
      <c r="P162" s="133"/>
      <c r="Q162" s="133"/>
      <c r="R162" s="133"/>
      <c r="S162" s="133"/>
      <c r="T162" s="133"/>
      <c r="U162" s="133" t="s">
        <v>468</v>
      </c>
      <c r="V162" s="133"/>
      <c r="W162" s="133"/>
      <c r="X162" s="133">
        <v>1</v>
      </c>
      <c r="Y162" s="145" t="s">
        <v>369</v>
      </c>
    </row>
    <row r="163" spans="1:25" ht="15">
      <c r="A163" s="89" t="s">
        <v>237</v>
      </c>
      <c r="B163" s="146" t="s">
        <v>372</v>
      </c>
      <c r="C163" s="133" t="s">
        <v>457</v>
      </c>
      <c r="D163" s="133" t="s">
        <v>457</v>
      </c>
      <c r="E163" s="133"/>
      <c r="F163" s="133"/>
      <c r="G163" s="154">
        <v>0.028372</v>
      </c>
      <c r="H163" s="133"/>
      <c r="I163" s="133"/>
      <c r="J163" s="128"/>
      <c r="K163" s="80"/>
      <c r="L163" s="81"/>
      <c r="M163" s="80"/>
      <c r="N163" s="81"/>
      <c r="O163" s="133"/>
      <c r="P163" s="133"/>
      <c r="Q163" s="133"/>
      <c r="R163" s="133"/>
      <c r="S163" s="133"/>
      <c r="T163" s="133"/>
      <c r="U163" s="133" t="s">
        <v>468</v>
      </c>
      <c r="V163" s="133"/>
      <c r="W163" s="133"/>
      <c r="X163" s="133">
        <v>1</v>
      </c>
      <c r="Y163" s="145" t="s">
        <v>371</v>
      </c>
    </row>
    <row r="164" spans="1:25" ht="24">
      <c r="A164" s="89" t="s">
        <v>237</v>
      </c>
      <c r="B164" s="146" t="s">
        <v>374</v>
      </c>
      <c r="C164" s="133" t="s">
        <v>454</v>
      </c>
      <c r="D164" s="133" t="s">
        <v>454</v>
      </c>
      <c r="E164" s="133"/>
      <c r="F164" s="133"/>
      <c r="G164" s="154">
        <v>0.005302</v>
      </c>
      <c r="H164" s="133"/>
      <c r="I164" s="133"/>
      <c r="J164" s="128"/>
      <c r="K164" s="80"/>
      <c r="L164" s="81"/>
      <c r="M164" s="80"/>
      <c r="N164" s="81"/>
      <c r="O164" s="133"/>
      <c r="P164" s="133"/>
      <c r="Q164" s="133"/>
      <c r="R164" s="133"/>
      <c r="S164" s="133"/>
      <c r="T164" s="133"/>
      <c r="U164" s="133" t="s">
        <v>468</v>
      </c>
      <c r="V164" s="133"/>
      <c r="W164" s="133"/>
      <c r="X164" s="133">
        <v>1</v>
      </c>
      <c r="Y164" s="145" t="s">
        <v>373</v>
      </c>
    </row>
    <row r="165" spans="1:25" ht="15">
      <c r="A165" s="89" t="s">
        <v>237</v>
      </c>
      <c r="B165" s="146" t="s">
        <v>376</v>
      </c>
      <c r="C165" s="133" t="s">
        <v>452</v>
      </c>
      <c r="D165" s="133" t="s">
        <v>452</v>
      </c>
      <c r="E165" s="133"/>
      <c r="F165" s="133"/>
      <c r="G165" s="154">
        <v>0</v>
      </c>
      <c r="H165" s="133"/>
      <c r="I165" s="133"/>
      <c r="J165" s="128"/>
      <c r="K165" s="80"/>
      <c r="L165" s="81"/>
      <c r="M165" s="80"/>
      <c r="N165" s="81"/>
      <c r="O165" s="133"/>
      <c r="P165" s="133"/>
      <c r="Q165" s="133"/>
      <c r="R165" s="133"/>
      <c r="S165" s="133"/>
      <c r="T165" s="133"/>
      <c r="U165" s="133" t="s">
        <v>468</v>
      </c>
      <c r="V165" s="133"/>
      <c r="W165" s="133"/>
      <c r="X165" s="133">
        <v>1</v>
      </c>
      <c r="Y165" s="145" t="s">
        <v>375</v>
      </c>
    </row>
    <row r="166" spans="1:25" ht="15">
      <c r="A166" s="89" t="s">
        <v>237</v>
      </c>
      <c r="B166" s="146" t="s">
        <v>378</v>
      </c>
      <c r="C166" s="133" t="s">
        <v>452</v>
      </c>
      <c r="D166" s="133" t="s">
        <v>452</v>
      </c>
      <c r="E166" s="133"/>
      <c r="F166" s="133"/>
      <c r="G166" s="154">
        <v>0</v>
      </c>
      <c r="H166" s="133"/>
      <c r="I166" s="133"/>
      <c r="J166" s="128"/>
      <c r="K166" s="80"/>
      <c r="L166" s="81"/>
      <c r="M166" s="80"/>
      <c r="N166" s="81"/>
      <c r="O166" s="133"/>
      <c r="P166" s="133"/>
      <c r="Q166" s="133"/>
      <c r="R166" s="133"/>
      <c r="S166" s="133"/>
      <c r="T166" s="133"/>
      <c r="U166" s="133" t="s">
        <v>468</v>
      </c>
      <c r="V166" s="133"/>
      <c r="W166" s="133"/>
      <c r="X166" s="133">
        <v>1</v>
      </c>
      <c r="Y166" s="145" t="s">
        <v>377</v>
      </c>
    </row>
    <row r="167" spans="1:25" ht="15">
      <c r="A167" s="89" t="s">
        <v>237</v>
      </c>
      <c r="B167" s="146" t="s">
        <v>380</v>
      </c>
      <c r="C167" s="133" t="s">
        <v>452</v>
      </c>
      <c r="D167" s="133" t="s">
        <v>452</v>
      </c>
      <c r="E167" s="133"/>
      <c r="F167" s="133"/>
      <c r="G167" s="154">
        <v>0</v>
      </c>
      <c r="H167" s="133"/>
      <c r="I167" s="133"/>
      <c r="J167" s="128"/>
      <c r="K167" s="80"/>
      <c r="L167" s="81"/>
      <c r="M167" s="80"/>
      <c r="N167" s="81"/>
      <c r="O167" s="133"/>
      <c r="P167" s="133"/>
      <c r="Q167" s="133"/>
      <c r="R167" s="133"/>
      <c r="S167" s="133"/>
      <c r="T167" s="133"/>
      <c r="U167" s="133" t="s">
        <v>468</v>
      </c>
      <c r="V167" s="133"/>
      <c r="W167" s="133"/>
      <c r="X167" s="133">
        <v>1</v>
      </c>
      <c r="Y167" s="145" t="s">
        <v>379</v>
      </c>
    </row>
    <row r="168" spans="1:25" ht="15">
      <c r="A168" s="89" t="s">
        <v>237</v>
      </c>
      <c r="B168" s="146" t="s">
        <v>382</v>
      </c>
      <c r="C168" s="133" t="s">
        <v>452</v>
      </c>
      <c r="D168" s="133" t="s">
        <v>452</v>
      </c>
      <c r="E168" s="133"/>
      <c r="F168" s="133"/>
      <c r="G168" s="154">
        <v>0</v>
      </c>
      <c r="H168" s="133"/>
      <c r="I168" s="133"/>
      <c r="J168" s="128"/>
      <c r="K168" s="80"/>
      <c r="L168" s="81"/>
      <c r="M168" s="80"/>
      <c r="N168" s="81"/>
      <c r="O168" s="133"/>
      <c r="P168" s="133"/>
      <c r="Q168" s="133"/>
      <c r="R168" s="133"/>
      <c r="S168" s="133"/>
      <c r="T168" s="133"/>
      <c r="U168" s="133" t="s">
        <v>468</v>
      </c>
      <c r="V168" s="133"/>
      <c r="W168" s="133"/>
      <c r="X168" s="133">
        <v>1</v>
      </c>
      <c r="Y168" s="145" t="s">
        <v>381</v>
      </c>
    </row>
    <row r="169" spans="1:25" ht="15">
      <c r="A169" s="89" t="s">
        <v>237</v>
      </c>
      <c r="B169" s="146" t="s">
        <v>384</v>
      </c>
      <c r="C169" s="133" t="s">
        <v>452</v>
      </c>
      <c r="D169" s="133" t="s">
        <v>452</v>
      </c>
      <c r="E169" s="133"/>
      <c r="F169" s="133"/>
      <c r="G169" s="154">
        <v>0</v>
      </c>
      <c r="H169" s="133"/>
      <c r="I169" s="133"/>
      <c r="J169" s="128"/>
      <c r="K169" s="80"/>
      <c r="L169" s="81"/>
      <c r="M169" s="80"/>
      <c r="N169" s="81"/>
      <c r="O169" s="133"/>
      <c r="P169" s="133"/>
      <c r="Q169" s="133"/>
      <c r="R169" s="133"/>
      <c r="S169" s="133"/>
      <c r="T169" s="133"/>
      <c r="U169" s="133" t="s">
        <v>468</v>
      </c>
      <c r="V169" s="133"/>
      <c r="W169" s="133"/>
      <c r="X169" s="133">
        <v>1</v>
      </c>
      <c r="Y169" s="145" t="s">
        <v>383</v>
      </c>
    </row>
    <row r="170" spans="1:25" ht="15">
      <c r="A170" s="89" t="s">
        <v>237</v>
      </c>
      <c r="B170" s="146" t="s">
        <v>386</v>
      </c>
      <c r="C170" s="133" t="s">
        <v>452</v>
      </c>
      <c r="D170" s="133" t="s">
        <v>452</v>
      </c>
      <c r="E170" s="133"/>
      <c r="F170" s="133"/>
      <c r="G170" s="154">
        <v>0</v>
      </c>
      <c r="H170" s="133"/>
      <c r="I170" s="133"/>
      <c r="J170" s="128"/>
      <c r="K170" s="80"/>
      <c r="L170" s="81"/>
      <c r="M170" s="80"/>
      <c r="N170" s="81"/>
      <c r="O170" s="133"/>
      <c r="P170" s="133"/>
      <c r="Q170" s="133"/>
      <c r="R170" s="133"/>
      <c r="S170" s="133"/>
      <c r="T170" s="133"/>
      <c r="U170" s="133" t="s">
        <v>468</v>
      </c>
      <c r="V170" s="133"/>
      <c r="W170" s="133"/>
      <c r="X170" s="133">
        <v>1</v>
      </c>
      <c r="Y170" s="145" t="s">
        <v>385</v>
      </c>
    </row>
    <row r="171" spans="1:25" ht="15">
      <c r="A171" s="89" t="s">
        <v>237</v>
      </c>
      <c r="B171" s="146" t="s">
        <v>387</v>
      </c>
      <c r="C171" s="133" t="s">
        <v>452</v>
      </c>
      <c r="D171" s="133" t="s">
        <v>452</v>
      </c>
      <c r="E171" s="133"/>
      <c r="F171" s="133"/>
      <c r="G171" s="154">
        <v>0</v>
      </c>
      <c r="H171" s="133"/>
      <c r="I171" s="133"/>
      <c r="J171" s="128"/>
      <c r="K171" s="80"/>
      <c r="L171" s="81"/>
      <c r="M171" s="80"/>
      <c r="N171" s="81"/>
      <c r="O171" s="133"/>
      <c r="P171" s="133"/>
      <c r="Q171" s="133"/>
      <c r="R171" s="133"/>
      <c r="S171" s="133"/>
      <c r="T171" s="133"/>
      <c r="U171" s="133" t="s">
        <v>468</v>
      </c>
      <c r="V171" s="133"/>
      <c r="W171" s="133"/>
      <c r="X171" s="133">
        <v>1</v>
      </c>
      <c r="Y171" s="145" t="s">
        <v>231</v>
      </c>
    </row>
    <row r="172" spans="1:25" ht="15">
      <c r="A172" s="89" t="s">
        <v>232</v>
      </c>
      <c r="B172" s="146" t="s">
        <v>389</v>
      </c>
      <c r="C172" s="133" t="s">
        <v>452</v>
      </c>
      <c r="D172" s="133" t="s">
        <v>452</v>
      </c>
      <c r="E172" s="133"/>
      <c r="F172" s="133"/>
      <c r="G172" s="154">
        <v>6.691159</v>
      </c>
      <c r="H172" s="133"/>
      <c r="I172" s="133"/>
      <c r="J172" s="128"/>
      <c r="K172" s="80"/>
      <c r="L172" s="81"/>
      <c r="M172" s="80"/>
      <c r="N172" s="81"/>
      <c r="O172" s="133"/>
      <c r="P172" s="133"/>
      <c r="Q172" s="133"/>
      <c r="R172" s="133"/>
      <c r="S172" s="133"/>
      <c r="T172" s="133"/>
      <c r="U172" s="133" t="s">
        <v>468</v>
      </c>
      <c r="V172" s="133"/>
      <c r="W172" s="133"/>
      <c r="X172" s="133">
        <v>1</v>
      </c>
      <c r="Y172" s="145" t="s">
        <v>388</v>
      </c>
    </row>
    <row r="173" spans="1:25" ht="15">
      <c r="A173" s="89" t="s">
        <v>44</v>
      </c>
      <c r="B173" s="146" t="s">
        <v>391</v>
      </c>
      <c r="C173" s="133" t="s">
        <v>401</v>
      </c>
      <c r="D173" s="133" t="s">
        <v>401</v>
      </c>
      <c r="E173" s="133"/>
      <c r="F173" s="133"/>
      <c r="G173" s="154">
        <v>0</v>
      </c>
      <c r="H173" s="133"/>
      <c r="I173" s="133"/>
      <c r="J173" s="128"/>
      <c r="K173" s="80"/>
      <c r="L173" s="81"/>
      <c r="M173" s="80"/>
      <c r="N173" s="81"/>
      <c r="O173" s="133"/>
      <c r="P173" s="133"/>
      <c r="Q173" s="133"/>
      <c r="R173" s="133"/>
      <c r="S173" s="133"/>
      <c r="T173" s="133"/>
      <c r="U173" s="133" t="s">
        <v>468</v>
      </c>
      <c r="V173" s="133"/>
      <c r="W173" s="133"/>
      <c r="X173" s="133">
        <v>1</v>
      </c>
      <c r="Y173" s="145" t="s">
        <v>390</v>
      </c>
    </row>
    <row r="174" spans="1:25" ht="15">
      <c r="A174" s="89" t="s">
        <v>44</v>
      </c>
      <c r="B174" s="146" t="s">
        <v>393</v>
      </c>
      <c r="C174" s="133" t="s">
        <v>458</v>
      </c>
      <c r="D174" s="133" t="s">
        <v>458</v>
      </c>
      <c r="E174" s="133"/>
      <c r="F174" s="133"/>
      <c r="G174" s="154">
        <v>0</v>
      </c>
      <c r="H174" s="133"/>
      <c r="I174" s="133"/>
      <c r="J174" s="128"/>
      <c r="K174" s="80"/>
      <c r="L174" s="81"/>
      <c r="M174" s="80"/>
      <c r="N174" s="81"/>
      <c r="O174" s="133"/>
      <c r="P174" s="133"/>
      <c r="Q174" s="133"/>
      <c r="R174" s="133"/>
      <c r="S174" s="133"/>
      <c r="T174" s="133"/>
      <c r="U174" s="133" t="s">
        <v>468</v>
      </c>
      <c r="V174" s="133"/>
      <c r="W174" s="133"/>
      <c r="X174" s="133">
        <v>1</v>
      </c>
      <c r="Y174" s="145" t="s">
        <v>392</v>
      </c>
    </row>
    <row r="175" spans="1:25" ht="15">
      <c r="A175" s="89" t="s">
        <v>44</v>
      </c>
      <c r="B175" s="146" t="s">
        <v>395</v>
      </c>
      <c r="C175" s="133" t="s">
        <v>395</v>
      </c>
      <c r="D175" s="133" t="s">
        <v>395</v>
      </c>
      <c r="E175" s="133"/>
      <c r="F175" s="133"/>
      <c r="G175" s="154">
        <v>0</v>
      </c>
      <c r="H175" s="133"/>
      <c r="I175" s="133"/>
      <c r="J175" s="128"/>
      <c r="K175" s="80"/>
      <c r="L175" s="81"/>
      <c r="M175" s="80"/>
      <c r="N175" s="81"/>
      <c r="O175" s="133"/>
      <c r="P175" s="133"/>
      <c r="Q175" s="133"/>
      <c r="R175" s="133"/>
      <c r="S175" s="133"/>
      <c r="T175" s="133"/>
      <c r="U175" s="133" t="s">
        <v>468</v>
      </c>
      <c r="V175" s="133"/>
      <c r="W175" s="133"/>
      <c r="X175" s="133">
        <v>1</v>
      </c>
      <c r="Y175" s="145" t="s">
        <v>394</v>
      </c>
    </row>
    <row r="176" spans="1:25" ht="15">
      <c r="A176" s="89" t="s">
        <v>44</v>
      </c>
      <c r="B176" s="146" t="s">
        <v>397</v>
      </c>
      <c r="C176" s="133" t="s">
        <v>460</v>
      </c>
      <c r="D176" s="133" t="s">
        <v>460</v>
      </c>
      <c r="E176" s="133"/>
      <c r="F176" s="133"/>
      <c r="G176" s="154">
        <v>0</v>
      </c>
      <c r="H176" s="133"/>
      <c r="I176" s="133"/>
      <c r="J176" s="128"/>
      <c r="K176" s="80"/>
      <c r="L176" s="81"/>
      <c r="M176" s="80"/>
      <c r="N176" s="81"/>
      <c r="O176" s="133"/>
      <c r="P176" s="133"/>
      <c r="Q176" s="133"/>
      <c r="R176" s="133"/>
      <c r="S176" s="133"/>
      <c r="T176" s="133"/>
      <c r="U176" s="133" t="s">
        <v>468</v>
      </c>
      <c r="V176" s="133"/>
      <c r="W176" s="133"/>
      <c r="X176" s="133">
        <v>1</v>
      </c>
      <c r="Y176" s="145" t="s">
        <v>396</v>
      </c>
    </row>
    <row r="177" spans="1:25" ht="15">
      <c r="A177" s="89" t="s">
        <v>108</v>
      </c>
      <c r="B177" s="146" t="s">
        <v>399</v>
      </c>
      <c r="C177" s="133" t="s">
        <v>459</v>
      </c>
      <c r="D177" s="133" t="s">
        <v>459</v>
      </c>
      <c r="E177" s="133"/>
      <c r="F177" s="133"/>
      <c r="G177" s="154">
        <v>0</v>
      </c>
      <c r="H177" s="133"/>
      <c r="I177" s="133"/>
      <c r="J177" s="128"/>
      <c r="K177" s="80"/>
      <c r="L177" s="81"/>
      <c r="M177" s="80"/>
      <c r="N177" s="81"/>
      <c r="O177" s="133"/>
      <c r="P177" s="133"/>
      <c r="Q177" s="133"/>
      <c r="R177" s="133"/>
      <c r="S177" s="133"/>
      <c r="T177" s="133"/>
      <c r="U177" s="133" t="s">
        <v>468</v>
      </c>
      <c r="V177" s="133"/>
      <c r="W177" s="133"/>
      <c r="X177" s="133">
        <v>1</v>
      </c>
      <c r="Y177" s="145" t="s">
        <v>398</v>
      </c>
    </row>
    <row r="178" spans="1:25" ht="15">
      <c r="A178" s="89" t="s">
        <v>44</v>
      </c>
      <c r="B178" s="146" t="s">
        <v>401</v>
      </c>
      <c r="C178" s="133" t="s">
        <v>453</v>
      </c>
      <c r="D178" s="133" t="s">
        <v>453</v>
      </c>
      <c r="E178" s="133"/>
      <c r="F178" s="133"/>
      <c r="G178" s="154">
        <v>0.155571</v>
      </c>
      <c r="H178" s="133"/>
      <c r="I178" s="133"/>
      <c r="J178" s="128"/>
      <c r="K178" s="80"/>
      <c r="L178" s="81"/>
      <c r="M178" s="80"/>
      <c r="N178" s="81"/>
      <c r="O178" s="133"/>
      <c r="P178" s="133"/>
      <c r="Q178" s="133"/>
      <c r="R178" s="133"/>
      <c r="S178" s="133"/>
      <c r="T178" s="133"/>
      <c r="U178" s="133" t="s">
        <v>468</v>
      </c>
      <c r="V178" s="133"/>
      <c r="W178" s="133"/>
      <c r="X178" s="133">
        <v>1</v>
      </c>
      <c r="Y178" s="145" t="s">
        <v>400</v>
      </c>
    </row>
    <row r="179" spans="1:25" ht="15" thickBot="1">
      <c r="A179" s="129" t="s">
        <v>424</v>
      </c>
      <c r="B179" s="130"/>
      <c r="C179" s="130"/>
      <c r="D179" s="130"/>
      <c r="E179" s="131">
        <f>SUM(E4:E178)</f>
        <v>6398.0555555555575</v>
      </c>
      <c r="F179" s="131">
        <f>SUM(F4:F178)</f>
        <v>5716.5</v>
      </c>
      <c r="G179" s="131">
        <f>SUM(G4:G178)</f>
        <v>3626.251347000001</v>
      </c>
      <c r="H179" s="131"/>
      <c r="I179" s="131">
        <f>SUM(I4:I96)</f>
        <v>8516.974555555556</v>
      </c>
      <c r="J179" s="131"/>
      <c r="K179" s="130"/>
      <c r="L179" s="130"/>
      <c r="M179" s="130"/>
      <c r="N179" s="132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2"/>
    </row>
  </sheetData>
  <mergeCells count="17">
    <mergeCell ref="U1:U3"/>
    <mergeCell ref="V1:V3"/>
    <mergeCell ref="W1:W3"/>
    <mergeCell ref="X1:X3"/>
    <mergeCell ref="Y1:Y3"/>
    <mergeCell ref="A1:A3"/>
    <mergeCell ref="B1:B3"/>
    <mergeCell ref="K1:L1"/>
    <mergeCell ref="M1:N1"/>
    <mergeCell ref="C1:C3"/>
    <mergeCell ref="D1:D3"/>
    <mergeCell ref="T1:T3"/>
    <mergeCell ref="O1:O3"/>
    <mergeCell ref="P1:P3"/>
    <mergeCell ref="Q1:Q3"/>
    <mergeCell ref="R1:R3"/>
    <mergeCell ref="S1:S3"/>
  </mergeCells>
  <conditionalFormatting sqref="X4:X178">
    <cfRule type="cellIs" priority="1" dxfId="1" operator="equal">
      <formula>""""""</formula>
    </cfRule>
    <cfRule type="cellIs" priority="2" dxfId="0" operator="greaterThan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Řehák</dc:creator>
  <cp:keywords/>
  <dc:description/>
  <cp:lastModifiedBy>Pavel Řehák</cp:lastModifiedBy>
  <cp:lastPrinted>2022-03-07T13:40:00Z</cp:lastPrinted>
  <dcterms:created xsi:type="dcterms:W3CDTF">2021-10-19T14:24:08Z</dcterms:created>
  <dcterms:modified xsi:type="dcterms:W3CDTF">2023-02-06T11:03:08Z</dcterms:modified>
  <cp:category/>
  <cp:version/>
  <cp:contentType/>
  <cp:contentStatus/>
</cp:coreProperties>
</file>