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mperSavings\03_PROJEKTY\Amper Savings CZ\34_EM Břeclav\01_ZÁPISY\Zápis 16\"/>
    </mc:Choice>
  </mc:AlternateContent>
  <xr:revisionPtr revIDLastSave="0" documentId="8_{4D2B381A-0C12-4A77-944B-72721C6C49D6}" xr6:coauthVersionLast="47" xr6:coauthVersionMax="47" xr10:uidLastSave="{00000000-0000-0000-0000-000000000000}"/>
  <bookViews>
    <workbookView xWindow="-108" yWindow="-108" windowWidth="23256" windowHeight="12456" activeTab="3" xr2:uid="{75F222DB-A5CB-4FCF-85BA-536C4282AAF4}"/>
  </bookViews>
  <sheets>
    <sheet name="Seznam OM" sheetId="1" r:id="rId1"/>
    <sheet name="Spotřeba tepla" sheetId="2" r:id="rId2"/>
    <sheet name="Spotřeba zemního plynu" sheetId="3" r:id="rId3"/>
    <sheet name="Spotřeba elektřiny" sheetId="4" r:id="rId4"/>
    <sheet name="List1" sheetId="6" r:id="rId5"/>
    <sheet name="Souhrn" sheetId="5" r:id="rId6"/>
  </sheets>
  <definedNames>
    <definedName name="_xlnm._FilterDatabase" localSheetId="1" hidden="1">'Spotřeba tepla'!$B$1:$B$96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P4" i="2" l="1"/>
  <c r="BO95" i="2"/>
  <c r="BO94" i="2"/>
  <c r="BO93" i="2"/>
  <c r="BO92" i="2"/>
  <c r="BO91" i="2"/>
  <c r="BO90" i="2"/>
  <c r="BO89" i="2"/>
  <c r="BO88" i="2"/>
  <c r="BO87" i="2"/>
  <c r="BO86" i="2"/>
  <c r="BO85" i="2"/>
  <c r="BO84" i="2"/>
  <c r="BO83" i="2"/>
  <c r="BO82" i="2"/>
  <c r="BO81" i="2"/>
  <c r="BO80" i="2"/>
  <c r="BO79" i="2"/>
  <c r="BO78" i="2"/>
  <c r="BO77" i="2"/>
  <c r="BO76" i="2"/>
  <c r="BO75" i="2"/>
  <c r="BO74" i="2"/>
  <c r="BO73" i="2"/>
  <c r="BO72" i="2"/>
  <c r="BO71" i="2"/>
  <c r="BO70" i="2"/>
  <c r="BO69" i="2"/>
  <c r="BO68" i="2"/>
  <c r="BO67" i="2"/>
  <c r="BO66" i="2"/>
  <c r="BO65" i="2"/>
  <c r="BO64" i="2"/>
  <c r="BO63" i="2"/>
  <c r="BO62" i="2"/>
  <c r="BO61" i="2"/>
  <c r="BO60" i="2"/>
  <c r="BO59" i="2"/>
  <c r="BO58" i="2"/>
  <c r="BO57" i="2"/>
  <c r="BO56" i="2"/>
  <c r="BO55" i="2"/>
  <c r="BO54" i="2"/>
  <c r="BO53" i="2"/>
  <c r="BO52" i="2"/>
  <c r="BO51" i="2"/>
  <c r="BO50" i="2"/>
  <c r="BO49" i="2"/>
  <c r="BO48" i="2"/>
  <c r="BO47" i="2"/>
  <c r="BO46" i="2"/>
  <c r="BO45" i="2"/>
  <c r="BO44" i="2"/>
  <c r="BO43" i="2"/>
  <c r="BO42" i="2"/>
  <c r="BO41" i="2"/>
  <c r="BO40" i="2"/>
  <c r="BO39" i="2"/>
  <c r="BO38" i="2"/>
  <c r="BO37" i="2"/>
  <c r="BO36" i="2"/>
  <c r="BO35" i="2"/>
  <c r="BO34" i="2"/>
  <c r="BO33" i="2"/>
  <c r="BO32" i="2"/>
  <c r="BO31" i="2"/>
  <c r="BO30" i="2"/>
  <c r="BO29" i="2"/>
  <c r="BO28" i="2"/>
  <c r="BO27" i="2"/>
  <c r="BO26" i="2"/>
  <c r="BO25" i="2"/>
  <c r="BO24" i="2"/>
  <c r="BO23" i="2"/>
  <c r="BO22" i="2"/>
  <c r="BO21" i="2"/>
  <c r="BO20" i="2"/>
  <c r="BO19" i="2"/>
  <c r="BO18" i="2"/>
  <c r="BO17" i="2"/>
  <c r="BO16" i="2"/>
  <c r="BO15" i="2"/>
  <c r="BO14" i="2"/>
  <c r="BO13" i="2"/>
  <c r="BO12" i="2"/>
  <c r="BO11" i="2"/>
  <c r="BO10" i="2"/>
  <c r="BO9" i="2"/>
  <c r="BO8" i="2"/>
  <c r="BO7" i="2"/>
  <c r="BO6" i="2"/>
  <c r="BO5" i="2"/>
  <c r="BO4" i="2"/>
  <c r="BD16" i="4" l="1"/>
  <c r="BD6" i="4"/>
  <c r="BD7" i="4"/>
  <c r="BD8" i="4"/>
  <c r="BD9" i="4"/>
  <c r="BD13" i="4"/>
  <c r="BD14" i="4"/>
  <c r="BD15" i="4"/>
  <c r="BD18" i="4"/>
  <c r="BD20" i="4"/>
  <c r="BD22" i="4"/>
  <c r="BD23" i="4"/>
  <c r="BD25" i="4"/>
  <c r="BD26" i="4"/>
  <c r="BD27" i="4"/>
  <c r="BD29" i="4"/>
  <c r="BD30" i="4"/>
  <c r="BD31" i="4"/>
  <c r="BD33" i="4"/>
  <c r="BD36" i="4"/>
  <c r="BD38" i="4"/>
  <c r="BD39" i="4"/>
  <c r="BD40" i="4"/>
  <c r="BD41" i="4"/>
  <c r="BD42" i="4"/>
  <c r="BD43" i="4"/>
  <c r="BD44" i="4"/>
  <c r="BD45" i="4"/>
  <c r="BD46" i="4"/>
  <c r="BD47" i="4"/>
  <c r="BD48" i="4"/>
  <c r="BD49" i="4"/>
  <c r="BD50" i="4"/>
  <c r="BD51" i="4"/>
  <c r="BD52" i="4"/>
  <c r="BD53" i="4"/>
  <c r="BD54" i="4"/>
  <c r="BD55" i="4"/>
  <c r="BD57" i="4"/>
  <c r="BD58" i="4"/>
  <c r="BD59" i="4"/>
  <c r="BD60" i="4"/>
  <c r="BD61" i="4"/>
  <c r="BD62" i="4"/>
  <c r="BD63" i="4"/>
  <c r="BD64" i="4"/>
  <c r="BD65" i="4"/>
  <c r="BD66" i="4"/>
  <c r="BD67" i="4"/>
  <c r="BD68" i="4"/>
  <c r="BD69" i="4"/>
  <c r="BD70" i="4"/>
  <c r="BD71" i="4"/>
  <c r="BD72" i="4"/>
  <c r="BD73" i="4"/>
  <c r="BD74" i="4"/>
  <c r="BD75" i="4"/>
  <c r="BD76" i="4"/>
  <c r="BD77" i="4"/>
  <c r="BD78" i="4"/>
  <c r="BD79" i="4"/>
  <c r="BD80" i="4"/>
  <c r="BD81" i="4"/>
  <c r="BD82" i="4"/>
  <c r="BD83" i="4"/>
  <c r="BD84" i="4"/>
  <c r="BD85" i="4"/>
  <c r="BD86" i="4"/>
  <c r="BD87" i="4"/>
  <c r="BD88" i="4"/>
  <c r="BD89" i="4"/>
  <c r="BD90" i="4"/>
  <c r="BD91" i="4"/>
  <c r="BD92" i="4"/>
  <c r="BD93" i="4"/>
  <c r="BD94" i="4"/>
  <c r="BD95" i="4"/>
  <c r="BD4" i="4"/>
  <c r="AG145" i="6"/>
  <c r="AG144" i="6"/>
  <c r="AG143" i="6"/>
  <c r="AG142" i="6"/>
  <c r="AG141" i="6"/>
  <c r="AG140" i="6"/>
  <c r="AG139" i="6"/>
  <c r="AG138" i="6"/>
  <c r="AG137" i="6"/>
  <c r="AG136" i="6"/>
  <c r="AG135" i="6"/>
  <c r="AG134" i="6"/>
  <c r="AG133" i="6"/>
  <c r="AG132" i="6"/>
  <c r="AG131" i="6"/>
  <c r="AG130" i="6"/>
  <c r="AG129" i="6"/>
  <c r="AG128" i="6"/>
  <c r="AG127" i="6"/>
  <c r="AG126" i="6"/>
  <c r="AG125" i="6"/>
  <c r="AG124" i="6"/>
  <c r="AG123" i="6"/>
  <c r="AG122" i="6"/>
  <c r="AG121" i="6"/>
  <c r="AG120" i="6"/>
  <c r="AG119" i="6"/>
  <c r="AG118" i="6"/>
  <c r="AG117" i="6"/>
  <c r="AG116" i="6"/>
  <c r="AG115" i="6"/>
  <c r="AG114" i="6"/>
  <c r="AG113" i="6"/>
  <c r="AG112" i="6"/>
  <c r="AG111" i="6"/>
  <c r="AG110" i="6"/>
  <c r="AG109" i="6"/>
  <c r="AG108" i="6"/>
  <c r="AG107" i="6"/>
  <c r="AG106" i="6"/>
  <c r="AG105" i="6"/>
  <c r="AG104" i="6"/>
  <c r="AG103" i="6"/>
  <c r="AG102" i="6"/>
  <c r="AG101" i="6"/>
  <c r="AG100" i="6"/>
  <c r="AG99" i="6"/>
  <c r="AG98" i="6"/>
  <c r="AG97" i="6"/>
  <c r="AG96" i="6"/>
  <c r="AG95" i="6"/>
  <c r="AG94" i="6"/>
  <c r="AG93" i="6"/>
  <c r="AG92" i="6"/>
  <c r="AG91" i="6"/>
  <c r="AG90" i="6"/>
  <c r="AG89" i="6"/>
  <c r="AG88" i="6"/>
  <c r="AG87" i="6"/>
  <c r="AG86" i="6"/>
  <c r="AG85" i="6"/>
  <c r="AG84" i="6"/>
  <c r="AG83" i="6"/>
  <c r="AG82" i="6"/>
  <c r="AG81" i="6"/>
  <c r="AG80" i="6"/>
  <c r="AG79" i="6"/>
  <c r="AG78" i="6"/>
  <c r="AG77" i="6"/>
  <c r="AG76" i="6"/>
  <c r="AG75" i="6"/>
  <c r="AG74" i="6"/>
  <c r="AG73" i="6"/>
  <c r="AG72" i="6"/>
  <c r="AG71" i="6"/>
  <c r="AG70" i="6"/>
  <c r="AG69" i="6"/>
  <c r="AG68" i="6"/>
  <c r="AG67" i="6"/>
  <c r="AG66" i="6"/>
  <c r="AG65" i="6"/>
  <c r="AG64" i="6"/>
  <c r="AG63" i="6"/>
  <c r="AG62" i="6"/>
  <c r="AG61" i="6"/>
  <c r="AG60" i="6"/>
  <c r="AG59" i="6"/>
  <c r="AG58" i="6"/>
  <c r="AG57" i="6"/>
  <c r="AG56" i="6"/>
  <c r="AG55" i="6"/>
  <c r="AG54" i="6"/>
  <c r="AG53" i="6"/>
  <c r="AG52" i="6"/>
  <c r="AG51" i="6"/>
  <c r="AG50" i="6"/>
  <c r="AG49" i="6"/>
  <c r="AG48" i="6"/>
  <c r="AG47" i="6"/>
  <c r="AG46" i="6"/>
  <c r="AG45" i="6"/>
  <c r="AG44" i="6"/>
  <c r="AG43" i="6"/>
  <c r="AG42" i="6"/>
  <c r="AG41" i="6"/>
  <c r="AG40" i="6"/>
  <c r="AG39" i="6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4" i="6"/>
  <c r="AG23" i="6"/>
  <c r="AG22" i="6"/>
  <c r="AG21" i="6"/>
  <c r="AG20" i="6"/>
  <c r="AG19" i="6"/>
  <c r="AG18" i="6"/>
  <c r="AG17" i="6"/>
  <c r="AG16" i="6"/>
  <c r="AG15" i="6"/>
  <c r="AG14" i="6"/>
  <c r="AG13" i="6"/>
  <c r="AG12" i="6"/>
  <c r="AG11" i="6"/>
  <c r="AG10" i="6"/>
  <c r="AG9" i="6"/>
  <c r="AG8" i="6"/>
  <c r="AG7" i="6"/>
  <c r="AG2" i="6" s="1"/>
  <c r="AG6" i="6"/>
  <c r="AG5" i="6"/>
  <c r="BB4" i="4" l="1"/>
  <c r="AO5" i="4"/>
  <c r="AO6" i="4"/>
  <c r="AO7" i="4"/>
  <c r="AO8" i="4"/>
  <c r="AO9" i="4"/>
  <c r="AO10" i="4"/>
  <c r="AO11" i="4"/>
  <c r="AO12" i="4"/>
  <c r="AO13" i="4"/>
  <c r="AO14" i="4"/>
  <c r="AO15" i="4"/>
  <c r="AO16" i="4"/>
  <c r="AO17" i="4"/>
  <c r="AO18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O32" i="4"/>
  <c r="AO33" i="4"/>
  <c r="AO34" i="4"/>
  <c r="AO35" i="4"/>
  <c r="AO36" i="4"/>
  <c r="AO37" i="4"/>
  <c r="AO38" i="4"/>
  <c r="AO39" i="4"/>
  <c r="AO40" i="4"/>
  <c r="AO41" i="4"/>
  <c r="AO42" i="4"/>
  <c r="AO43" i="4"/>
  <c r="AO44" i="4"/>
  <c r="AO45" i="4"/>
  <c r="AO46" i="4"/>
  <c r="AO47" i="4"/>
  <c r="AO48" i="4"/>
  <c r="AO49" i="4"/>
  <c r="AO50" i="4"/>
  <c r="AO51" i="4"/>
  <c r="AO52" i="4"/>
  <c r="AO53" i="4"/>
  <c r="AO54" i="4"/>
  <c r="AO55" i="4"/>
  <c r="AO56" i="4"/>
  <c r="AO57" i="4"/>
  <c r="AO58" i="4"/>
  <c r="AO59" i="4"/>
  <c r="AO60" i="4"/>
  <c r="AO61" i="4"/>
  <c r="AO62" i="4"/>
  <c r="AO63" i="4"/>
  <c r="AO64" i="4"/>
  <c r="AO65" i="4"/>
  <c r="AO66" i="4"/>
  <c r="AO67" i="4"/>
  <c r="AO68" i="4"/>
  <c r="AO69" i="4"/>
  <c r="AO70" i="4"/>
  <c r="AO71" i="4"/>
  <c r="AO72" i="4"/>
  <c r="AO73" i="4"/>
  <c r="AO74" i="4"/>
  <c r="AO75" i="4"/>
  <c r="AO76" i="4"/>
  <c r="AO77" i="4"/>
  <c r="AO78" i="4"/>
  <c r="AO79" i="4"/>
  <c r="AO80" i="4"/>
  <c r="AO81" i="4"/>
  <c r="AO82" i="4"/>
  <c r="AO83" i="4"/>
  <c r="AO84" i="4"/>
  <c r="AO85" i="4"/>
  <c r="AO86" i="4"/>
  <c r="AO87" i="4"/>
  <c r="AO88" i="4"/>
  <c r="AO89" i="4"/>
  <c r="AO90" i="4"/>
  <c r="AO91" i="4"/>
  <c r="AO92" i="4"/>
  <c r="AO4" i="4"/>
  <c r="AB5" i="4"/>
  <c r="AB6" i="4"/>
  <c r="AB7" i="4"/>
  <c r="AB8" i="4"/>
  <c r="AB9" i="4"/>
  <c r="AB10" i="4"/>
  <c r="AB11" i="4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33" i="4"/>
  <c r="AB34" i="4"/>
  <c r="AB35" i="4"/>
  <c r="AB36" i="4"/>
  <c r="AB37" i="4"/>
  <c r="AB38" i="4"/>
  <c r="AB39" i="4"/>
  <c r="AB40" i="4"/>
  <c r="AB41" i="4"/>
  <c r="AB42" i="4"/>
  <c r="AB43" i="4"/>
  <c r="AB44" i="4"/>
  <c r="AB45" i="4"/>
  <c r="AB46" i="4"/>
  <c r="AB47" i="4"/>
  <c r="AB48" i="4"/>
  <c r="AB49" i="4"/>
  <c r="AB50" i="4"/>
  <c r="AB51" i="4"/>
  <c r="AB52" i="4"/>
  <c r="AB53" i="4"/>
  <c r="AB54" i="4"/>
  <c r="AB55" i="4"/>
  <c r="AB56" i="4"/>
  <c r="AB57" i="4"/>
  <c r="AB58" i="4"/>
  <c r="AB59" i="4"/>
  <c r="AB60" i="4"/>
  <c r="AB61" i="4"/>
  <c r="AB62" i="4"/>
  <c r="AB63" i="4"/>
  <c r="AB64" i="4"/>
  <c r="AB65" i="4"/>
  <c r="AB66" i="4"/>
  <c r="AB67" i="4"/>
  <c r="AB68" i="4"/>
  <c r="AB69" i="4"/>
  <c r="AB70" i="4"/>
  <c r="AB71" i="4"/>
  <c r="AB72" i="4"/>
  <c r="AB73" i="4"/>
  <c r="AB74" i="4"/>
  <c r="AB75" i="4"/>
  <c r="AB76" i="4"/>
  <c r="AB77" i="4"/>
  <c r="AB78" i="4"/>
  <c r="AB79" i="4"/>
  <c r="AB80" i="4"/>
  <c r="AB81" i="4"/>
  <c r="AB82" i="4"/>
  <c r="AB83" i="4"/>
  <c r="AB84" i="4"/>
  <c r="AB85" i="4"/>
  <c r="AB86" i="4"/>
  <c r="AB87" i="4"/>
  <c r="AB88" i="4"/>
  <c r="AB89" i="4"/>
  <c r="AB90" i="4"/>
  <c r="AB91" i="4"/>
  <c r="AB92" i="4"/>
  <c r="AB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4" i="4"/>
  <c r="AO45" i="3"/>
  <c r="AO23" i="3"/>
  <c r="AO22" i="3"/>
  <c r="AB5" i="3"/>
  <c r="AB6" i="3"/>
  <c r="AB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4" i="3"/>
  <c r="AO11" i="3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B85" i="2"/>
  <c r="AB86" i="2"/>
  <c r="AB87" i="2"/>
  <c r="AB88" i="2"/>
  <c r="AB89" i="2"/>
  <c r="AB90" i="2"/>
  <c r="AB91" i="2"/>
  <c r="AB92" i="2"/>
  <c r="AB5" i="2"/>
  <c r="AB6" i="2"/>
  <c r="AB7" i="2"/>
  <c r="AB4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4" i="2"/>
  <c r="O5" i="2"/>
  <c r="BB5" i="3"/>
  <c r="BB6" i="3"/>
  <c r="BB7" i="3"/>
  <c r="BB8" i="3"/>
  <c r="BB9" i="3"/>
  <c r="BB10" i="3"/>
  <c r="BB11" i="3"/>
  <c r="BB12" i="3"/>
  <c r="BB13" i="3"/>
  <c r="BB14" i="3"/>
  <c r="BB15" i="3"/>
  <c r="BB16" i="3"/>
  <c r="BB17" i="3"/>
  <c r="BB18" i="3"/>
  <c r="BB19" i="3"/>
  <c r="BB20" i="3"/>
  <c r="BB21" i="3"/>
  <c r="BB22" i="3"/>
  <c r="BB23" i="3"/>
  <c r="BB24" i="3"/>
  <c r="BB25" i="3"/>
  <c r="BB26" i="3"/>
  <c r="BB27" i="3"/>
  <c r="BB28" i="3"/>
  <c r="BB29" i="3"/>
  <c r="BB30" i="3"/>
  <c r="BB31" i="3"/>
  <c r="BB32" i="3"/>
  <c r="BB33" i="3"/>
  <c r="BB34" i="3"/>
  <c r="BB35" i="3"/>
  <c r="BB36" i="3"/>
  <c r="BB37" i="3"/>
  <c r="BB38" i="3"/>
  <c r="BB39" i="3"/>
  <c r="BB40" i="3"/>
  <c r="BB41" i="3"/>
  <c r="BB42" i="3"/>
  <c r="BB43" i="3"/>
  <c r="BB44" i="3"/>
  <c r="BB45" i="3"/>
  <c r="BB46" i="3"/>
  <c r="BB47" i="3"/>
  <c r="BB48" i="3"/>
  <c r="BB49" i="3"/>
  <c r="BB50" i="3"/>
  <c r="BB51" i="3"/>
  <c r="BB52" i="3"/>
  <c r="BB53" i="3"/>
  <c r="BB54" i="3"/>
  <c r="BB55" i="3"/>
  <c r="BB56" i="3"/>
  <c r="BB57" i="3"/>
  <c r="BB58" i="3"/>
  <c r="BB59" i="3"/>
  <c r="BB60" i="3"/>
  <c r="BB61" i="3"/>
  <c r="BB62" i="3"/>
  <c r="BB63" i="3"/>
  <c r="BB64" i="3"/>
  <c r="BB65" i="3"/>
  <c r="BB66" i="3"/>
  <c r="BB67" i="3"/>
  <c r="BB68" i="3"/>
  <c r="BB69" i="3"/>
  <c r="BB70" i="3"/>
  <c r="BB71" i="3"/>
  <c r="BB72" i="3"/>
  <c r="BB73" i="3"/>
  <c r="BB74" i="3"/>
  <c r="BB75" i="3"/>
  <c r="BB76" i="3"/>
  <c r="BB77" i="3"/>
  <c r="BB78" i="3"/>
  <c r="BB79" i="3"/>
  <c r="BB80" i="3"/>
  <c r="BB81" i="3"/>
  <c r="BB82" i="3"/>
  <c r="BB83" i="3"/>
  <c r="BB84" i="3"/>
  <c r="BB85" i="3"/>
  <c r="BB86" i="3"/>
  <c r="BB87" i="3"/>
  <c r="BB88" i="3"/>
  <c r="BB89" i="3"/>
  <c r="BB90" i="3"/>
  <c r="BB91" i="3"/>
  <c r="BB92" i="3"/>
  <c r="BB93" i="3"/>
  <c r="BB94" i="3"/>
  <c r="BB95" i="3"/>
  <c r="BB4" i="3"/>
  <c r="BB11" i="2"/>
  <c r="BB12" i="2"/>
  <c r="BB13" i="2"/>
  <c r="BB14" i="2"/>
  <c r="BB15" i="2"/>
  <c r="BB16" i="2"/>
  <c r="BB17" i="2"/>
  <c r="BB18" i="2"/>
  <c r="BB19" i="2"/>
  <c r="BB20" i="2"/>
  <c r="BB21" i="2"/>
  <c r="BB22" i="2"/>
  <c r="BB23" i="2"/>
  <c r="BB24" i="2"/>
  <c r="BB25" i="2"/>
  <c r="BB26" i="2"/>
  <c r="BB27" i="2"/>
  <c r="BB28" i="2"/>
  <c r="BB29" i="2"/>
  <c r="BB30" i="2"/>
  <c r="BB31" i="2"/>
  <c r="BB32" i="2"/>
  <c r="BB33" i="2"/>
  <c r="BB34" i="2"/>
  <c r="BB35" i="2"/>
  <c r="BB36" i="2"/>
  <c r="BB37" i="2"/>
  <c r="BB38" i="2"/>
  <c r="BB39" i="2"/>
  <c r="BB40" i="2"/>
  <c r="BB41" i="2"/>
  <c r="BB42" i="2"/>
  <c r="BB43" i="2"/>
  <c r="BB44" i="2"/>
  <c r="BB45" i="2"/>
  <c r="BB46" i="2"/>
  <c r="BB47" i="2"/>
  <c r="BB48" i="2"/>
  <c r="BB49" i="2"/>
  <c r="BB50" i="2"/>
  <c r="BB51" i="2"/>
  <c r="BB52" i="2"/>
  <c r="BB53" i="2"/>
  <c r="BB54" i="2"/>
  <c r="BB55" i="2"/>
  <c r="BB56" i="2"/>
  <c r="BB57" i="2"/>
  <c r="BB58" i="2"/>
  <c r="BB59" i="2"/>
  <c r="BB60" i="2"/>
  <c r="BB61" i="2"/>
  <c r="BB62" i="2"/>
  <c r="BB63" i="2"/>
  <c r="BB64" i="2"/>
  <c r="BB65" i="2"/>
  <c r="BB66" i="2"/>
  <c r="BB67" i="2"/>
  <c r="BB68" i="2"/>
  <c r="BB69" i="2"/>
  <c r="BB70" i="2"/>
  <c r="BB71" i="2"/>
  <c r="BB72" i="2"/>
  <c r="BB73" i="2"/>
  <c r="BB74" i="2"/>
  <c r="BB75" i="2"/>
  <c r="BB76" i="2"/>
  <c r="BB77" i="2"/>
  <c r="BB78" i="2"/>
  <c r="BB79" i="2"/>
  <c r="BB80" i="2"/>
  <c r="BB81" i="2"/>
  <c r="BB82" i="2"/>
  <c r="BB83" i="2"/>
  <c r="BB84" i="2"/>
  <c r="BB85" i="2"/>
  <c r="BB86" i="2"/>
  <c r="BB87" i="2"/>
  <c r="BB88" i="2"/>
  <c r="BB89" i="2"/>
  <c r="BB90" i="2"/>
  <c r="BB91" i="2"/>
  <c r="BB92" i="2"/>
  <c r="BB93" i="2"/>
  <c r="BB94" i="2"/>
  <c r="BB95" i="2"/>
  <c r="BB10" i="2"/>
  <c r="BB5" i="2"/>
  <c r="BB6" i="2"/>
  <c r="BB7" i="2"/>
  <c r="BB8" i="2"/>
  <c r="BB9" i="2"/>
  <c r="BB4" i="2"/>
  <c r="BQ4" i="2" s="1"/>
  <c r="E7" i="5" l="1"/>
  <c r="E5" i="5" l="1"/>
  <c r="E6" i="5"/>
  <c r="E8" i="5"/>
  <c r="E9" i="5"/>
  <c r="E10" i="5"/>
  <c r="E11" i="5"/>
  <c r="E12" i="5"/>
  <c r="E14" i="5"/>
  <c r="E15" i="5"/>
  <c r="E16" i="5"/>
  <c r="E23" i="5"/>
  <c r="E27" i="5"/>
  <c r="E28" i="5"/>
  <c r="E31" i="5"/>
  <c r="E34" i="5"/>
  <c r="E37" i="5"/>
  <c r="E40" i="5"/>
  <c r="E41" i="5"/>
  <c r="E43" i="5"/>
  <c r="E53" i="5"/>
  <c r="E56" i="5"/>
  <c r="E81" i="5"/>
  <c r="E4" i="5"/>
  <c r="G13" i="5"/>
  <c r="G14" i="5"/>
  <c r="G16" i="5"/>
  <c r="G21" i="5"/>
  <c r="G22" i="5"/>
  <c r="G24" i="5"/>
  <c r="G29" i="5"/>
  <c r="G30" i="5"/>
  <c r="G32" i="5"/>
  <c r="G37" i="5"/>
  <c r="G38" i="5"/>
  <c r="G40" i="5"/>
  <c r="G45" i="5"/>
  <c r="G46" i="5"/>
  <c r="G47" i="5"/>
  <c r="G48" i="5"/>
  <c r="G53" i="5"/>
  <c r="G54" i="5"/>
  <c r="G55" i="5"/>
  <c r="G56" i="5"/>
  <c r="G61" i="5"/>
  <c r="G62" i="5"/>
  <c r="G63" i="5"/>
  <c r="G64" i="5"/>
  <c r="G69" i="5"/>
  <c r="G70" i="5"/>
  <c r="G71" i="5"/>
  <c r="G72" i="5"/>
  <c r="G77" i="5"/>
  <c r="G78" i="5"/>
  <c r="G79" i="5"/>
  <c r="G80" i="5"/>
  <c r="G85" i="5"/>
  <c r="G86" i="5"/>
  <c r="G87" i="5"/>
  <c r="G88" i="5"/>
  <c r="G93" i="5"/>
  <c r="G94" i="5"/>
  <c r="G95" i="5"/>
  <c r="G4" i="5"/>
  <c r="F5" i="5"/>
  <c r="F6" i="5"/>
  <c r="F7" i="5"/>
  <c r="F8" i="5"/>
  <c r="F9" i="5"/>
  <c r="F12" i="5"/>
  <c r="F14" i="5"/>
  <c r="F15" i="5"/>
  <c r="F16" i="5"/>
  <c r="F17" i="5"/>
  <c r="F34" i="5"/>
  <c r="F41" i="5"/>
  <c r="F43" i="5"/>
  <c r="F46" i="5"/>
  <c r="F53" i="5"/>
  <c r="F4" i="5"/>
  <c r="BB5" i="4"/>
  <c r="G5" i="5" s="1"/>
  <c r="BB6" i="4"/>
  <c r="G6" i="5" s="1"/>
  <c r="BB7" i="4"/>
  <c r="G7" i="5" s="1"/>
  <c r="BB8" i="4"/>
  <c r="G8" i="5" s="1"/>
  <c r="BB9" i="4"/>
  <c r="G9" i="5" s="1"/>
  <c r="BB10" i="4"/>
  <c r="G10" i="5" s="1"/>
  <c r="BB11" i="4"/>
  <c r="G11" i="5" s="1"/>
  <c r="BB12" i="4"/>
  <c r="G12" i="5" s="1"/>
  <c r="BB13" i="4"/>
  <c r="BB14" i="4"/>
  <c r="BB15" i="4"/>
  <c r="G15" i="5" s="1"/>
  <c r="BB16" i="4"/>
  <c r="BB17" i="4"/>
  <c r="G17" i="5" s="1"/>
  <c r="BB18" i="4"/>
  <c r="G18" i="5" s="1"/>
  <c r="BB19" i="4"/>
  <c r="G19" i="5" s="1"/>
  <c r="BB20" i="4"/>
  <c r="G20" i="5" s="1"/>
  <c r="BB21" i="4"/>
  <c r="BB22" i="4"/>
  <c r="BB23" i="4"/>
  <c r="G23" i="5" s="1"/>
  <c r="BB24" i="4"/>
  <c r="BB25" i="4"/>
  <c r="G25" i="5" s="1"/>
  <c r="BB26" i="4"/>
  <c r="G26" i="5" s="1"/>
  <c r="BB27" i="4"/>
  <c r="G27" i="5" s="1"/>
  <c r="BB28" i="4"/>
  <c r="G28" i="5" s="1"/>
  <c r="BB29" i="4"/>
  <c r="BB30" i="4"/>
  <c r="BB31" i="4"/>
  <c r="G31" i="5" s="1"/>
  <c r="BB32" i="4"/>
  <c r="BB33" i="4"/>
  <c r="G33" i="5" s="1"/>
  <c r="BB34" i="4"/>
  <c r="G34" i="5" s="1"/>
  <c r="BB35" i="4"/>
  <c r="G35" i="5" s="1"/>
  <c r="BB36" i="4"/>
  <c r="G36" i="5" s="1"/>
  <c r="BB37" i="4"/>
  <c r="BB38" i="4"/>
  <c r="BB39" i="4"/>
  <c r="G39" i="5" s="1"/>
  <c r="BB40" i="4"/>
  <c r="BB41" i="4"/>
  <c r="G41" i="5" s="1"/>
  <c r="BB42" i="4"/>
  <c r="G42" i="5" s="1"/>
  <c r="BB43" i="4"/>
  <c r="G43" i="5" s="1"/>
  <c r="BB44" i="4"/>
  <c r="G44" i="5" s="1"/>
  <c r="BB45" i="4"/>
  <c r="BB46" i="4"/>
  <c r="BB47" i="4"/>
  <c r="BB48" i="4"/>
  <c r="BB49" i="4"/>
  <c r="G49" i="5" s="1"/>
  <c r="BB50" i="4"/>
  <c r="G50" i="5" s="1"/>
  <c r="BB51" i="4"/>
  <c r="G51" i="5" s="1"/>
  <c r="BB52" i="4"/>
  <c r="G52" i="5" s="1"/>
  <c r="BB53" i="4"/>
  <c r="BB54" i="4"/>
  <c r="BB55" i="4"/>
  <c r="BB56" i="4"/>
  <c r="BB57" i="4"/>
  <c r="G57" i="5" s="1"/>
  <c r="BB58" i="4"/>
  <c r="G58" i="5" s="1"/>
  <c r="BB59" i="4"/>
  <c r="G59" i="5" s="1"/>
  <c r="BB60" i="4"/>
  <c r="G60" i="5" s="1"/>
  <c r="BB61" i="4"/>
  <c r="BB62" i="4"/>
  <c r="BB63" i="4"/>
  <c r="BB64" i="4"/>
  <c r="BB65" i="4"/>
  <c r="G65" i="5" s="1"/>
  <c r="BB66" i="4"/>
  <c r="G66" i="5" s="1"/>
  <c r="BB67" i="4"/>
  <c r="G67" i="5" s="1"/>
  <c r="BB68" i="4"/>
  <c r="G68" i="5" s="1"/>
  <c r="BB69" i="4"/>
  <c r="BB70" i="4"/>
  <c r="BB71" i="4"/>
  <c r="BB72" i="4"/>
  <c r="BB73" i="4"/>
  <c r="G73" i="5" s="1"/>
  <c r="BB74" i="4"/>
  <c r="G74" i="5" s="1"/>
  <c r="BB75" i="4"/>
  <c r="G75" i="5" s="1"/>
  <c r="BB76" i="4"/>
  <c r="G76" i="5" s="1"/>
  <c r="BB77" i="4"/>
  <c r="BB78" i="4"/>
  <c r="BB79" i="4"/>
  <c r="BB80" i="4"/>
  <c r="BB81" i="4"/>
  <c r="G81" i="5" s="1"/>
  <c r="BB82" i="4"/>
  <c r="G82" i="5" s="1"/>
  <c r="BB83" i="4"/>
  <c r="G83" i="5" s="1"/>
  <c r="BB84" i="4"/>
  <c r="G84" i="5" s="1"/>
  <c r="BB85" i="4"/>
  <c r="BB86" i="4"/>
  <c r="BB87" i="4"/>
  <c r="BB88" i="4"/>
  <c r="BB89" i="4"/>
  <c r="G89" i="5" s="1"/>
  <c r="BB90" i="4"/>
  <c r="G90" i="5" s="1"/>
  <c r="BB91" i="4"/>
  <c r="G91" i="5" s="1"/>
  <c r="BB92" i="4"/>
  <c r="G92" i="5" s="1"/>
  <c r="BB93" i="4"/>
  <c r="BB94" i="4"/>
  <c r="BB95" i="4"/>
  <c r="E179" i="5" l="1"/>
  <c r="F179" i="5"/>
  <c r="G179" i="5"/>
  <c r="I95" i="5"/>
  <c r="I7" i="5"/>
  <c r="I63" i="5"/>
  <c r="I43" i="5"/>
  <c r="I27" i="5"/>
  <c r="I11" i="5"/>
  <c r="I90" i="5"/>
  <c r="I82" i="5"/>
  <c r="I34" i="5"/>
  <c r="I47" i="5"/>
  <c r="I39" i="5"/>
  <c r="I31" i="5"/>
  <c r="I92" i="5"/>
  <c r="I28" i="5"/>
  <c r="I12" i="5"/>
  <c r="I74" i="5"/>
  <c r="I66" i="5"/>
  <c r="I58" i="5"/>
  <c r="I50" i="5"/>
  <c r="I42" i="5"/>
  <c r="I26" i="5"/>
  <c r="I18" i="5"/>
  <c r="I10" i="5"/>
  <c r="I14" i="5"/>
  <c r="I6" i="5"/>
  <c r="I89" i="5"/>
  <c r="I81" i="5"/>
  <c r="I73" i="5"/>
  <c r="I65" i="5"/>
  <c r="I57" i="5"/>
  <c r="I49" i="5"/>
  <c r="I41" i="5"/>
  <c r="I33" i="5"/>
  <c r="I25" i="5"/>
  <c r="I17" i="5"/>
  <c r="I9" i="5"/>
  <c r="I87" i="5"/>
  <c r="I79" i="5"/>
  <c r="I71" i="5"/>
  <c r="I55" i="5"/>
  <c r="I23" i="5"/>
  <c r="I15" i="5"/>
  <c r="I22" i="5"/>
  <c r="I94" i="5"/>
  <c r="I86" i="5"/>
  <c r="I78" i="5"/>
  <c r="I70" i="5"/>
  <c r="I62" i="5"/>
  <c r="I54" i="5"/>
  <c r="I46" i="5"/>
  <c r="I38" i="5"/>
  <c r="I30" i="5"/>
  <c r="I93" i="5"/>
  <c r="I85" i="5"/>
  <c r="I77" i="5"/>
  <c r="I69" i="5"/>
  <c r="I61" i="5"/>
  <c r="I53" i="5"/>
  <c r="I45" i="5"/>
  <c r="I37" i="5"/>
  <c r="I29" i="5"/>
  <c r="I21" i="5"/>
  <c r="I13" i="5"/>
  <c r="I5" i="5"/>
  <c r="I84" i="5"/>
  <c r="I60" i="5"/>
  <c r="I36" i="5"/>
  <c r="I80" i="5"/>
  <c r="I64" i="5"/>
  <c r="I56" i="5"/>
  <c r="I40" i="5"/>
  <c r="I32" i="5"/>
  <c r="I24" i="5"/>
  <c r="I16" i="5"/>
  <c r="I8" i="5"/>
  <c r="I76" i="5"/>
  <c r="I68" i="5"/>
  <c r="I52" i="5"/>
  <c r="I44" i="5"/>
  <c r="I20" i="5"/>
  <c r="I88" i="5"/>
  <c r="I72" i="5"/>
  <c r="I48" i="5"/>
  <c r="I91" i="5"/>
  <c r="I83" i="5"/>
  <c r="I75" i="5"/>
  <c r="I67" i="5"/>
  <c r="I59" i="5"/>
  <c r="I51" i="5"/>
  <c r="I35" i="5"/>
  <c r="I19" i="5"/>
  <c r="I4" i="5"/>
  <c r="I179" i="5" l="1"/>
  <c r="BP5" i="2"/>
  <c r="BP6" i="2"/>
  <c r="BP7" i="2"/>
  <c r="BP8" i="2"/>
  <c r="BP9" i="2"/>
  <c r="BP10" i="2"/>
  <c r="BP11" i="2"/>
  <c r="BP12" i="2"/>
  <c r="BP13" i="2"/>
  <c r="BP14" i="2"/>
  <c r="BP15" i="2"/>
  <c r="BP16" i="2"/>
  <c r="BP17" i="2"/>
  <c r="BP18" i="2"/>
  <c r="BP19" i="2"/>
  <c r="BP20" i="2"/>
  <c r="BP21" i="2"/>
  <c r="BP22" i="2"/>
  <c r="BP23" i="2"/>
  <c r="BP24" i="2"/>
  <c r="BP25" i="2"/>
  <c r="BP26" i="2"/>
  <c r="BP27" i="2"/>
  <c r="BP28" i="2"/>
  <c r="BP29" i="2"/>
  <c r="BP30" i="2"/>
  <c r="BP31" i="2"/>
  <c r="BP32" i="2"/>
  <c r="BP33" i="2"/>
  <c r="BP34" i="2"/>
  <c r="BP35" i="2"/>
  <c r="BP36" i="2"/>
  <c r="BP37" i="2"/>
  <c r="BP38" i="2"/>
  <c r="BP39" i="2"/>
  <c r="BP40" i="2"/>
  <c r="BP41" i="2"/>
  <c r="BP42" i="2"/>
  <c r="BP43" i="2"/>
  <c r="BP44" i="2"/>
  <c r="BP45" i="2"/>
  <c r="BP46" i="2"/>
  <c r="BP47" i="2"/>
  <c r="BP48" i="2"/>
  <c r="BP49" i="2"/>
  <c r="BP50" i="2"/>
  <c r="BP51" i="2"/>
  <c r="BP52" i="2"/>
  <c r="BP53" i="2"/>
  <c r="BP54" i="2"/>
  <c r="BP55" i="2"/>
  <c r="BP56" i="2"/>
  <c r="BP57" i="2"/>
  <c r="BP58" i="2"/>
  <c r="BP59" i="2"/>
  <c r="BP60" i="2"/>
  <c r="BP61" i="2"/>
  <c r="BP62" i="2"/>
  <c r="BP63" i="2"/>
  <c r="BP64" i="2"/>
  <c r="BP65" i="2"/>
  <c r="BP66" i="2"/>
  <c r="BP67" i="2"/>
  <c r="BP68" i="2"/>
  <c r="BP69" i="2"/>
  <c r="BP70" i="2"/>
  <c r="BP71" i="2"/>
  <c r="BP72" i="2"/>
  <c r="BP73" i="2"/>
  <c r="BP74" i="2"/>
  <c r="BP75" i="2"/>
  <c r="BP76" i="2"/>
  <c r="BP77" i="2"/>
  <c r="BP78" i="2"/>
  <c r="BP79" i="2"/>
  <c r="BP80" i="2"/>
  <c r="BP81" i="2"/>
  <c r="BP82" i="2"/>
  <c r="BP83" i="2"/>
  <c r="BP84" i="2"/>
  <c r="BP85" i="2"/>
  <c r="BP86" i="2"/>
  <c r="BP87" i="2"/>
  <c r="BP88" i="2"/>
  <c r="BP89" i="2"/>
  <c r="BP90" i="2"/>
  <c r="BP91" i="2"/>
  <c r="BP92" i="2"/>
  <c r="BP93" i="2"/>
  <c r="BP94" i="2"/>
  <c r="BP95" i="2"/>
  <c r="BP96" i="2"/>
  <c r="AG59" i="1"/>
  <c r="AF59" i="1"/>
  <c r="AG53" i="1"/>
  <c r="AF50" i="1"/>
  <c r="J48" i="1"/>
  <c r="AF44" i="1"/>
  <c r="I43" i="1"/>
  <c r="F40" i="1"/>
  <c r="I38" i="1"/>
  <c r="H38" i="1"/>
  <c r="F38" i="1"/>
  <c r="AF37" i="1"/>
  <c r="H37" i="1"/>
  <c r="F37" i="1"/>
  <c r="AF35" i="1"/>
  <c r="H35" i="1"/>
  <c r="F35" i="1"/>
  <c r="AF34" i="1"/>
  <c r="AF32" i="1"/>
  <c r="AF31" i="1"/>
  <c r="J31" i="1"/>
  <c r="I31" i="1"/>
  <c r="H31" i="1"/>
  <c r="F31" i="1"/>
  <c r="AF28" i="1"/>
  <c r="AB28" i="1"/>
  <c r="F27" i="1"/>
  <c r="AG26" i="1"/>
  <c r="AD26" i="1"/>
  <c r="AC26" i="1"/>
  <c r="AB26" i="1"/>
  <c r="AG25" i="1"/>
  <c r="AF25" i="1"/>
  <c r="J24" i="1"/>
  <c r="F24" i="1"/>
  <c r="F22" i="1"/>
  <c r="I20" i="1"/>
  <c r="H20" i="1"/>
  <c r="F20" i="1"/>
  <c r="AF18" i="1"/>
  <c r="H18" i="1"/>
  <c r="AG17" i="1"/>
  <c r="J14" i="1"/>
  <c r="I14" i="1"/>
  <c r="H14" i="1"/>
  <c r="F14" i="1"/>
  <c r="F13" i="1"/>
  <c r="AF12" i="1"/>
  <c r="AF11" i="1"/>
  <c r="AF8" i="1"/>
  <c r="H8" i="1"/>
  <c r="F8" i="1"/>
  <c r="J95" i="5" l="1"/>
  <c r="J4" i="5"/>
  <c r="J85" i="5"/>
  <c r="J58" i="5"/>
  <c r="J9" i="5"/>
  <c r="J46" i="5"/>
  <c r="J38" i="5"/>
  <c r="J59" i="5"/>
  <c r="J51" i="5"/>
  <c r="J79" i="5"/>
  <c r="J62" i="5"/>
  <c r="J11" i="5"/>
  <c r="J49" i="5"/>
  <c r="J25" i="5"/>
  <c r="J21" i="5"/>
  <c r="J6" i="5"/>
  <c r="J27" i="5"/>
  <c r="J12" i="5"/>
  <c r="J40" i="5"/>
  <c r="J54" i="5"/>
  <c r="J71" i="5"/>
  <c r="J50" i="5"/>
  <c r="J28" i="5"/>
  <c r="J78" i="5"/>
  <c r="J82" i="5"/>
  <c r="J65" i="5"/>
  <c r="J52" i="5"/>
  <c r="J24" i="5"/>
  <c r="J60" i="5"/>
  <c r="J53" i="5"/>
  <c r="J86" i="5"/>
  <c r="J88" i="5"/>
  <c r="J14" i="5"/>
  <c r="J83" i="5"/>
  <c r="J15" i="5"/>
  <c r="J35" i="5"/>
  <c r="J33" i="5"/>
  <c r="J41" i="5"/>
  <c r="J48" i="5"/>
  <c r="J17" i="5"/>
  <c r="J92" i="5"/>
  <c r="J10" i="5"/>
  <c r="J66" i="5"/>
  <c r="J8" i="5"/>
  <c r="J84" i="5"/>
  <c r="J75" i="5"/>
  <c r="J73" i="5"/>
  <c r="J77" i="5"/>
  <c r="J55" i="5"/>
  <c r="J90" i="5"/>
  <c r="J67" i="5"/>
  <c r="J19" i="5"/>
  <c r="J13" i="5"/>
  <c r="J63" i="5"/>
  <c r="J23" i="5"/>
  <c r="J47" i="5"/>
  <c r="J39" i="5"/>
  <c r="J56" i="5"/>
  <c r="J29" i="5"/>
  <c r="J26" i="5"/>
  <c r="J37" i="5"/>
  <c r="J30" i="5"/>
  <c r="J44" i="5"/>
  <c r="J76" i="5"/>
  <c r="J20" i="5"/>
  <c r="J69" i="5"/>
  <c r="J57" i="5"/>
  <c r="J74" i="5"/>
  <c r="J22" i="5"/>
  <c r="J93" i="5"/>
  <c r="J18" i="5"/>
  <c r="J87" i="5"/>
  <c r="J31" i="5"/>
  <c r="J64" i="5"/>
  <c r="J72" i="5"/>
  <c r="J34" i="5"/>
  <c r="J45" i="5"/>
  <c r="J70" i="5"/>
  <c r="J91" i="5"/>
  <c r="J89" i="5"/>
  <c r="J5" i="5"/>
  <c r="J16" i="5"/>
  <c r="J81" i="5"/>
  <c r="J32" i="5"/>
  <c r="J94" i="5"/>
  <c r="J68" i="5"/>
  <c r="J43" i="5"/>
  <c r="J80" i="5"/>
  <c r="J36" i="5"/>
  <c r="J42" i="5"/>
  <c r="J61" i="5"/>
  <c r="J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Řehák</author>
  </authors>
  <commentList>
    <comment ref="B13" authorId="0" shapeId="0" xr:uid="{06DBBFE0-43B3-470C-95B1-A8CFA2188F13}">
      <text>
        <r>
          <rPr>
            <b/>
            <sz val="9"/>
            <color indexed="81"/>
            <rFont val="Tahoma"/>
            <family val="2"/>
            <charset val="238"/>
          </rPr>
          <t>Pavel Řehák:</t>
        </r>
        <r>
          <rPr>
            <sz val="9"/>
            <color indexed="81"/>
            <rFont val="Tahoma"/>
            <family val="2"/>
            <charset val="238"/>
          </rPr>
          <t xml:space="preserve">
v rámci EPC budu mít podklad</t>
        </r>
      </text>
    </comment>
    <comment ref="B34" authorId="0" shapeId="0" xr:uid="{B020D9E1-3612-4EB8-B130-3AA87434FBFB}">
      <text>
        <r>
          <rPr>
            <b/>
            <sz val="9"/>
            <color indexed="81"/>
            <rFont val="Tahoma"/>
            <family val="2"/>
            <charset val="238"/>
          </rPr>
          <t>Pavel Řehák:</t>
        </r>
        <r>
          <rPr>
            <sz val="9"/>
            <color indexed="81"/>
            <rFont val="Tahoma"/>
            <family val="2"/>
            <charset val="238"/>
          </rPr>
          <t xml:space="preserve">
v rámci EPC budu mít podklad</t>
        </r>
      </text>
    </comment>
    <comment ref="B99" authorId="0" shapeId="0" xr:uid="{784790F8-A059-476E-9031-F08E8DF2E07A}">
      <text>
        <r>
          <rPr>
            <b/>
            <sz val="9"/>
            <color indexed="81"/>
            <rFont val="Tahoma"/>
            <family val="2"/>
            <charset val="238"/>
          </rPr>
          <t>Pavel Řehák:</t>
        </r>
        <r>
          <rPr>
            <sz val="9"/>
            <color indexed="81"/>
            <rFont val="Tahoma"/>
            <family val="2"/>
            <charset val="238"/>
          </rPr>
          <t xml:space="preserve">
existuje v přehledu faktur, není zde v seznamu
</t>
        </r>
      </text>
    </comment>
  </commentList>
</comments>
</file>

<file path=xl/sharedStrings.xml><?xml version="1.0" encoding="utf-8"?>
<sst xmlns="http://schemas.openxmlformats.org/spreadsheetml/2006/main" count="5649" uniqueCount="643">
  <si>
    <t>Legenda</t>
  </si>
  <si>
    <t>Potřeba upřesnit adresu objektu. V případě, že objekt nemá adresu, doplnit parcelní číslo a katastrální území.</t>
  </si>
  <si>
    <t>Doplnit spotřeby/faktury za uvedené objekty/odběrná místa, případně doplnit do energy broker</t>
  </si>
  <si>
    <t>Spotřeba elektřiny (MWh/rok)</t>
  </si>
  <si>
    <t>Spotřeba zemního plynu (MWh/rok)</t>
  </si>
  <si>
    <t>Spotřeba tepla (GJ/rok)</t>
  </si>
  <si>
    <t>Spotřeba TUV (GJ/rok)</t>
  </si>
  <si>
    <t>EAN</t>
  </si>
  <si>
    <t>Organizace</t>
  </si>
  <si>
    <t>Adresa</t>
  </si>
  <si>
    <t>Elektřina  - orientační spotřeba (MWh/rok)</t>
  </si>
  <si>
    <t>Počet odběrných míst elektřiny</t>
  </si>
  <si>
    <t>Průměr za 3 roky</t>
  </si>
  <si>
    <t>Počet odběrných míst</t>
  </si>
  <si>
    <t>Plocha střechy pro FV (půdorysný průmět)</t>
  </si>
  <si>
    <t>Plocha střechy - zastavěná plocha</t>
  </si>
  <si>
    <t>EPC</t>
  </si>
  <si>
    <t>859182400200004957</t>
  </si>
  <si>
    <t>Zimní stadion</t>
  </si>
  <si>
    <t>Pod Zámkem 2881/5, Břeclav</t>
  </si>
  <si>
    <t>859182400200352461
859182400200350993
859182400200352751
859182400200352645</t>
  </si>
  <si>
    <t>Městský úřad</t>
  </si>
  <si>
    <t xml:space="preserve"> Náměstí TGM 42/3, Břeclav</t>
  </si>
  <si>
    <t>Rekonstrukce - plánovaná</t>
  </si>
  <si>
    <t>859182400211932423</t>
  </si>
  <si>
    <t xml:space="preserve">Krytý bazén </t>
  </si>
  <si>
    <t>Fibichova 3385/1, Břeclav</t>
  </si>
  <si>
    <t>859182400200428746</t>
  </si>
  <si>
    <t>Domov seniorů</t>
  </si>
  <si>
    <t>Na Pěšině 2842/13, Břeclav</t>
  </si>
  <si>
    <t>859182400200355264</t>
  </si>
  <si>
    <t>ZŠ Slovácká</t>
  </si>
  <si>
    <t>Slovácká 2853/40</t>
  </si>
  <si>
    <t>859182400200768934</t>
  </si>
  <si>
    <t>Dům školství</t>
  </si>
  <si>
    <t>17.listopadu 2995/1A, Břeclav</t>
  </si>
  <si>
    <t>859182400200587115
859182400200371066
859182400200371219
859182400200371325</t>
  </si>
  <si>
    <t>Městské muzeum a galerie Břeclav, příspěvková organizace
Kino
Odbor majetkový</t>
  </si>
  <si>
    <t>U Tržiště  2085/1, Břeclav</t>
  </si>
  <si>
    <t>859182400201454119
859182400201454478
859182400200542497</t>
  </si>
  <si>
    <t>Základní škola Břeclav, Na Valtické 31 A</t>
  </si>
  <si>
    <t>Na Valtické 31a, Břeclav</t>
  </si>
  <si>
    <t>Již je</t>
  </si>
  <si>
    <t>859182400200348990
859182400212904573</t>
  </si>
  <si>
    <t>Městská policie</t>
  </si>
  <si>
    <t>Kupkova 3, Břeclav</t>
  </si>
  <si>
    <t>859182400200584466</t>
  </si>
  <si>
    <t>Městské muzeum a galerie Břeclav, příspěvková organizace</t>
  </si>
  <si>
    <t>U Tržiště 324/8 - Turist. inform. středisko, Lichtenštejnský dům</t>
  </si>
  <si>
    <t>859182400200348907</t>
  </si>
  <si>
    <t>Základní škola a Mateřská škola Břeclav, Kupkova 1</t>
  </si>
  <si>
    <t>Kupkova 1020/1, Břeclav</t>
  </si>
  <si>
    <t>859182400200261763</t>
  </si>
  <si>
    <t>Základní škola Břeclav, Komenského 2</t>
  </si>
  <si>
    <t>Osvobození 1, Břeclav</t>
  </si>
  <si>
    <t>859182400200352645</t>
  </si>
  <si>
    <t>MěÚ</t>
  </si>
  <si>
    <t>U Stadionu 2129/2</t>
  </si>
  <si>
    <t>859182400200813856
859182400200541674</t>
  </si>
  <si>
    <t>Tereza Břeclav</t>
  </si>
  <si>
    <t>Lesní 10, Břeclav</t>
  </si>
  <si>
    <t>859182400200583759</t>
  </si>
  <si>
    <t>Městská knihovna</t>
  </si>
  <si>
    <t>Národních hrdinů 16/9, Břeclav</t>
  </si>
  <si>
    <t>859182400201454096
859182400200569777</t>
  </si>
  <si>
    <t>Základní škola a Mateřská škola Břeclav, Kpt. Nálepky 7</t>
  </si>
  <si>
    <t>Kpt. Nálepky 186/7, Břeclav</t>
  </si>
  <si>
    <t>859182400200294921</t>
  </si>
  <si>
    <t>Základní škola a Mateřská škola Břeclav, Kupkova</t>
  </si>
  <si>
    <t>Dukelských hrdinů 2590/3, Břeclav</t>
  </si>
  <si>
    <t>859182400200584619
859182400200584725</t>
  </si>
  <si>
    <t>Zámeček Pohansko, Pohansko 206</t>
  </si>
  <si>
    <t>859182400200362514</t>
  </si>
  <si>
    <t>Sovadinova 465/3, Břeclav</t>
  </si>
  <si>
    <t>859182400200362613</t>
  </si>
  <si>
    <t>Sovadinova 565/1, 69002 Břeclav</t>
  </si>
  <si>
    <t>859182400201454065
859182400201454072</t>
  </si>
  <si>
    <t>Kpt. Nálepky 277/5, Břeclav</t>
  </si>
  <si>
    <t>859182400200431081</t>
  </si>
  <si>
    <t>Základní škola Jana Noháče, Břeclav, Školní 16</t>
  </si>
  <si>
    <t>Školní 1589/16, Břeclav</t>
  </si>
  <si>
    <t>859182400200348532</t>
  </si>
  <si>
    <t>Základní umělecká škola Břeclav, Křížkovského 4</t>
  </si>
  <si>
    <t>Křížkovského 642/4, Břeclav</t>
  </si>
  <si>
    <t>859182400200348808</t>
  </si>
  <si>
    <t>Mateřská škola Břeclav, U Splavu 2765</t>
  </si>
  <si>
    <t>U splavu 2765/9, 69002 Břeclav</t>
  </si>
  <si>
    <t>859182400200294211
859182400210479127</t>
  </si>
  <si>
    <t>Dukelských hrdinů 2747, 69002 Břeclav</t>
  </si>
  <si>
    <t>859182400200261350</t>
  </si>
  <si>
    <t>Komenského 14, Břeclav</t>
  </si>
  <si>
    <t>859182400200262500</t>
  </si>
  <si>
    <t>Slovácký krúžek Poštorná - Koňaré, z.s.</t>
  </si>
  <si>
    <t>Hraniční 386/34, 69141 Břeclav</t>
  </si>
  <si>
    <t>859182400200823640</t>
  </si>
  <si>
    <t>Mateřská škola Břeclav, Na Valtické 727</t>
  </si>
  <si>
    <t>Na Valtické 727, Břeclav</t>
  </si>
  <si>
    <t>859182400200260995
859182400200261060
859182400200261169</t>
  </si>
  <si>
    <t>Komenského 2, Břeclav</t>
  </si>
  <si>
    <t>859182400201447616</t>
  </si>
  <si>
    <t>Tyršův sad 334/3, Břeclav</t>
  </si>
  <si>
    <t>859182400200583322
859182400200583414
859182400200594984
859182400200603587
859182400200603679
859182400208681860
859182400208746897</t>
  </si>
  <si>
    <t>DPS-Charitní ošetřovatelská a pečovatelská služba</t>
  </si>
  <si>
    <t>Seniorů 3196/1, Břeclav</t>
  </si>
  <si>
    <t>859182400200804830
859182400200804786</t>
  </si>
  <si>
    <t>Koupaliště</t>
  </si>
  <si>
    <t>Veslařská 3, Břeclav</t>
  </si>
  <si>
    <t>859182400201453914</t>
  </si>
  <si>
    <t>Odbor majetkový</t>
  </si>
  <si>
    <t>Lednická 515/21</t>
  </si>
  <si>
    <t>859182400200271519
859182400200271427</t>
  </si>
  <si>
    <t>Mateřská škola Břeclav, Okružní 1091/7</t>
  </si>
  <si>
    <t>MŠ Okružní 1091/7</t>
  </si>
  <si>
    <t>859182400200372421</t>
  </si>
  <si>
    <t>Zámecké náměstí 3096</t>
  </si>
  <si>
    <t>859182400210639781</t>
  </si>
  <si>
    <t>Národních hrdinů 278/22</t>
  </si>
  <si>
    <t>859182400200741104</t>
  </si>
  <si>
    <t>Dukelských hrdinů 2799/2, Břeclav</t>
  </si>
  <si>
    <t>859182400200774416</t>
  </si>
  <si>
    <t>Bývalý MÚ</t>
  </si>
  <si>
    <t>nám.TGM 38/10</t>
  </si>
  <si>
    <t>859182400200577598</t>
  </si>
  <si>
    <t>sady 28. října (pavilon) , 69002 Břeclav</t>
  </si>
  <si>
    <t>859182400200263293</t>
  </si>
  <si>
    <t>Tř.1. Máje 57/39</t>
  </si>
  <si>
    <t>859182400210875691</t>
  </si>
  <si>
    <t>Hasičárna</t>
  </si>
  <si>
    <t>859182400200553257</t>
  </si>
  <si>
    <t>Mateřská škola Břeclav, Hřbitovní 8</t>
  </si>
  <si>
    <t>Hřbitovní 1760/8, 69003 Břeclav</t>
  </si>
  <si>
    <t>859182400200292026</t>
  </si>
  <si>
    <t>Mateřská škola Břeclav, Břetislavova 6</t>
  </si>
  <si>
    <t>Břetislavova 578/6, 69002 Břeclav</t>
  </si>
  <si>
    <t>859182400210646048</t>
  </si>
  <si>
    <t>Rovnice 171/1, Poštorná</t>
  </si>
  <si>
    <t>859182400200348617</t>
  </si>
  <si>
    <t>Křížkovského 1136/2, Břeclav</t>
  </si>
  <si>
    <t>859182400200760044</t>
  </si>
  <si>
    <t>K.H.Máchy 3218/26, 69002 Břeclav</t>
  </si>
  <si>
    <t>859182400200760136</t>
  </si>
  <si>
    <t>K.H.Máchy 3219/27, 69002 Břeclav</t>
  </si>
  <si>
    <t>859182400211081046</t>
  </si>
  <si>
    <t>sady 28. října (sklad) , 69002 Břeclav</t>
  </si>
  <si>
    <t>859182400200308734</t>
  </si>
  <si>
    <t>sady 28. října (pavilon A3) , 69002 Břeclav</t>
  </si>
  <si>
    <t>859182400200300561</t>
  </si>
  <si>
    <t>Domov seniorů Břeclav, příspěvková organizace</t>
  </si>
  <si>
    <t>Stromořadní 5, 69002 Břeclav</t>
  </si>
  <si>
    <t>859182400200367762</t>
  </si>
  <si>
    <t>Národních hrdinů 283/43</t>
  </si>
  <si>
    <t>859182400200531835</t>
  </si>
  <si>
    <t>Ostrov 5692</t>
  </si>
  <si>
    <t>859182400200355028
859182400200355141</t>
  </si>
  <si>
    <t>Slovácká 39, 69002 Břeclav</t>
  </si>
  <si>
    <t>859182400200225796</t>
  </si>
  <si>
    <t>Palackého 423/17, Podivín</t>
  </si>
  <si>
    <t>859182400211710724</t>
  </si>
  <si>
    <t>Národních hrdinů 22</t>
  </si>
  <si>
    <t>859182400200648045</t>
  </si>
  <si>
    <t>Národních hrdinů 2010/18, 69002 Břeclav</t>
  </si>
  <si>
    <t>859182400200303562</t>
  </si>
  <si>
    <t>Lanžhotská spr. bud.</t>
  </si>
  <si>
    <t>859182400200525780</t>
  </si>
  <si>
    <t>Slovácká 2747, 69002 Břeclav</t>
  </si>
  <si>
    <t>859182400210990837</t>
  </si>
  <si>
    <t>Zámecké nám. K/481/1</t>
  </si>
  <si>
    <t>859182400200303463</t>
  </si>
  <si>
    <t>Lanžhotská obř. síň</t>
  </si>
  <si>
    <t>859182400200420801</t>
  </si>
  <si>
    <t>Hřbitovní obř.síň</t>
  </si>
  <si>
    <t>859182400200311895</t>
  </si>
  <si>
    <t>Národního odboje 1217/17 , 69002 Břeclav</t>
  </si>
  <si>
    <t>859182400211789317</t>
  </si>
  <si>
    <t>Na Valtické K/2103/1/C, Břeclav</t>
  </si>
  <si>
    <t>859182400200263880</t>
  </si>
  <si>
    <t>Hájová obř. síň</t>
  </si>
  <si>
    <t>859182400211233056</t>
  </si>
  <si>
    <t>sady 28. října K/593/1, Břeclav</t>
  </si>
  <si>
    <t>859182400200829949</t>
  </si>
  <si>
    <t>U splavu 3047/2B</t>
  </si>
  <si>
    <t>859182400200310690</t>
  </si>
  <si>
    <t>Na Zahradách 20</t>
  </si>
  <si>
    <t>859182400200759840</t>
  </si>
  <si>
    <t>K.H.Máchy 3216/24, 69002 Břeclav</t>
  </si>
  <si>
    <t>859182400200759901</t>
  </si>
  <si>
    <t>K.H.Máchy 3217/25, 69002 Břeclav</t>
  </si>
  <si>
    <t>859182400212100562</t>
  </si>
  <si>
    <t>Lidická 3411/33b, Břeclav</t>
  </si>
  <si>
    <t>859182400211789331</t>
  </si>
  <si>
    <t>Na Valtické K/2181/1/A, Břeclav</t>
  </si>
  <si>
    <t>859182400200303371</t>
  </si>
  <si>
    <t>Krátká 1284/8</t>
  </si>
  <si>
    <t>859182400211789355</t>
  </si>
  <si>
    <t>Na Valtické K/2181/6, Břeclav</t>
  </si>
  <si>
    <t>859182400211789324</t>
  </si>
  <si>
    <t>Na Valtické K/2103/1/D, Břeclav</t>
  </si>
  <si>
    <t>859182400211920253</t>
  </si>
  <si>
    <t>Národních hrdinů K/3726/2, Břeclav</t>
  </si>
  <si>
    <t>859182400211920222</t>
  </si>
  <si>
    <t>třída 1. máje K/3681, Břeclav</t>
  </si>
  <si>
    <t>859182400211746877</t>
  </si>
  <si>
    <t>Svodinova K/181, Břeclav</t>
  </si>
  <si>
    <t>859182400200524677</t>
  </si>
  <si>
    <t>Národních hrdinů 311/20</t>
  </si>
  <si>
    <t>859182400200369650</t>
  </si>
  <si>
    <t>Národních hrdinů 300/47</t>
  </si>
  <si>
    <t>859182400200644696</t>
  </si>
  <si>
    <t>veřejné WC U stadionu</t>
  </si>
  <si>
    <t>859182400200429026</t>
  </si>
  <si>
    <t>Na pěšině 1865/18</t>
  </si>
  <si>
    <t>859182400200310829</t>
  </si>
  <si>
    <t>Na Zahradách 21</t>
  </si>
  <si>
    <t>859182400200310645</t>
  </si>
  <si>
    <t>Na Zahradách 19</t>
  </si>
  <si>
    <t>859182400200312939</t>
  </si>
  <si>
    <t>Riegrova 1010/27</t>
  </si>
  <si>
    <t>859182400200311789</t>
  </si>
  <si>
    <t>Národního odboje 1217/17</t>
  </si>
  <si>
    <t>859182400200303913</t>
  </si>
  <si>
    <t>Lanžhotská 449/11</t>
  </si>
  <si>
    <t>859182400200308956</t>
  </si>
  <si>
    <t>Sady 28. října 588/2</t>
  </si>
  <si>
    <t>859182400211192018</t>
  </si>
  <si>
    <t>Národních hrdinů 300/47A</t>
  </si>
  <si>
    <t>859182400200344831</t>
  </si>
  <si>
    <t>Chodská 1371/2</t>
  </si>
  <si>
    <t>859182400200288753</t>
  </si>
  <si>
    <t>Bratislavská 4</t>
  </si>
  <si>
    <t>859182400211745000</t>
  </si>
  <si>
    <t>Husova K/191/20, Břeclav</t>
  </si>
  <si>
    <t>859182400211167030</t>
  </si>
  <si>
    <t>Odbor rozvoje a správy</t>
  </si>
  <si>
    <t>SNP – Tyršův sad č. 58</t>
  </si>
  <si>
    <t>Červená ZŠ a MŠ</t>
  </si>
  <si>
    <t>Veřejné osvětlení a jiné</t>
  </si>
  <si>
    <t>859182400201454102</t>
  </si>
  <si>
    <t>Technické služby, organizační složka</t>
  </si>
  <si>
    <t>Na Valtické I VO č. 46</t>
  </si>
  <si>
    <t>859182400201447654</t>
  </si>
  <si>
    <t>Lednická VO č. 34</t>
  </si>
  <si>
    <t>859182400200315152</t>
  </si>
  <si>
    <t>Šilingrova – VO č. 4</t>
  </si>
  <si>
    <t>859182400211378849</t>
  </si>
  <si>
    <t>Slovácká K/3729/1 – IDS JMK - Kamera</t>
  </si>
  <si>
    <t>859182400200263118</t>
  </si>
  <si>
    <t>1. máje – u sladovny – VO č. 26</t>
  </si>
  <si>
    <t>859182400200428289</t>
  </si>
  <si>
    <t>Na Pěšině VO č. 16</t>
  </si>
  <si>
    <t>859182400210566926</t>
  </si>
  <si>
    <t>Národních hrdinů – cukrovar VO č. 37</t>
  </si>
  <si>
    <t>859182400200256707</t>
  </si>
  <si>
    <t>Nádražní VO č. 32</t>
  </si>
  <si>
    <t>859182400200370328</t>
  </si>
  <si>
    <t>U Cukrovaru VO č. 20</t>
  </si>
  <si>
    <t>859182400200308574</t>
  </si>
  <si>
    <t>Sady 28. října – pěší zóna VO č. 54</t>
  </si>
  <si>
    <t>859182400200354939</t>
  </si>
  <si>
    <t>Slovácká VO č. 10</t>
  </si>
  <si>
    <t>859182400200425325</t>
  </si>
  <si>
    <t>Mendlova VO č. 17</t>
  </si>
  <si>
    <t>859182400200271649</t>
  </si>
  <si>
    <t>ČSA I VO č. 43</t>
  </si>
  <si>
    <t>859182400200293948</t>
  </si>
  <si>
    <t>Dukelských hrdinů VO č. 12</t>
  </si>
  <si>
    <t>859182400200351099</t>
  </si>
  <si>
    <t>Nám. T. G. Masaryka VO č. 25</t>
  </si>
  <si>
    <t>859182400200262708</t>
  </si>
  <si>
    <t>Fučíkova VO č. 29</t>
  </si>
  <si>
    <t>859182400200362507</t>
  </si>
  <si>
    <t>Na Zahradách VO č. 13</t>
  </si>
  <si>
    <t>859182400200422270</t>
  </si>
  <si>
    <t>Lidická – Sigma VO č. 19</t>
  </si>
  <si>
    <t>859182400200338670</t>
  </si>
  <si>
    <t>Fintajslova – VO č. 27</t>
  </si>
  <si>
    <t>859182400200609527</t>
  </si>
  <si>
    <t>Dělnická VO č. 53</t>
  </si>
  <si>
    <t>859182400200363900</t>
  </si>
  <si>
    <t>U Splavu VO č. 41</t>
  </si>
  <si>
    <t>859182400200371950</t>
  </si>
  <si>
    <t>Fibichova VO č. 22</t>
  </si>
  <si>
    <t>859182400200372162</t>
  </si>
  <si>
    <t>Zámek – VO č. 23</t>
  </si>
  <si>
    <t>859182400200300820</t>
  </si>
  <si>
    <t>Stromořadní – VO č. 8</t>
  </si>
  <si>
    <t>859182400200345692</t>
  </si>
  <si>
    <t>17. listopadu VO č. 21</t>
  </si>
  <si>
    <t>859182400200369872</t>
  </si>
  <si>
    <t>1. máje – u Lidlu – VO č. 24</t>
  </si>
  <si>
    <t>859182400200302329</t>
  </si>
  <si>
    <t>Jungmannova – VO č. 6</t>
  </si>
  <si>
    <t>859182400201454133</t>
  </si>
  <si>
    <t>Na Valtické III – VO č. 52</t>
  </si>
  <si>
    <t>859182400200292408</t>
  </si>
  <si>
    <t>Čechova – VO č. 7</t>
  </si>
  <si>
    <t>859182400200291135</t>
  </si>
  <si>
    <t>Březinova – VO č. 1</t>
  </si>
  <si>
    <t>859182400200287947</t>
  </si>
  <si>
    <t>Bratislavská – VO č. 2</t>
  </si>
  <si>
    <t>859182400200430213</t>
  </si>
  <si>
    <t>Gen. Šimka VO č. 42</t>
  </si>
  <si>
    <t>859182400200345067</t>
  </si>
  <si>
    <t>Bří Mrštíků – VO č. 26</t>
  </si>
  <si>
    <t>859182400200428159</t>
  </si>
  <si>
    <t>Mánesova – U Zbrodku VO č. 18</t>
  </si>
  <si>
    <t>859182400201454089</t>
  </si>
  <si>
    <t>Na Valtické II – VO č. 48</t>
  </si>
  <si>
    <t>859182400200372643</t>
  </si>
  <si>
    <t>U nemocnice VO č. 51</t>
  </si>
  <si>
    <t>859182400200256905</t>
  </si>
  <si>
    <t>ČSA II VO č. 44</t>
  </si>
  <si>
    <t>859182400200433658</t>
  </si>
  <si>
    <t>Na Zvolenci VO č. 33</t>
  </si>
  <si>
    <t>859182400200348426</t>
  </si>
  <si>
    <t>Kpt. Jaroše VO č. 15</t>
  </si>
  <si>
    <t>859182400200427893</t>
  </si>
  <si>
    <t>Na Ostrově VO č. 45</t>
  </si>
  <si>
    <t>859182400200355400</t>
  </si>
  <si>
    <t>Slovácká – sídl. VO č. 11</t>
  </si>
  <si>
    <t>859182400200792526</t>
  </si>
  <si>
    <t>Semafor na T.G. Masaryka</t>
  </si>
  <si>
    <t>859182400200308321</t>
  </si>
  <si>
    <t>Mládežnická – VO č. 3</t>
  </si>
  <si>
    <t>859182400200256080</t>
  </si>
  <si>
    <t>Hlavní VO č. 50</t>
  </si>
  <si>
    <t>859182400210491822</t>
  </si>
  <si>
    <t>J. Opletala k 3101/87 – Za kasárnama VO č. 36</t>
  </si>
  <si>
    <t>859182400200293795</t>
  </si>
  <si>
    <t>Žižkova – pod vodojemem VO č. 40</t>
  </si>
  <si>
    <t>859182400200261374</t>
  </si>
  <si>
    <t>Havlíčkova – Polní VO č. 30</t>
  </si>
  <si>
    <t>859182400200315756</t>
  </si>
  <si>
    <t>Nám. Svobody – VO č. 9</t>
  </si>
  <si>
    <t>859182400200631023</t>
  </si>
  <si>
    <t>K. H. Máchy VO č. 56</t>
  </si>
  <si>
    <t>859182400200661341</t>
  </si>
  <si>
    <t>U Tržiště VO č. 49</t>
  </si>
  <si>
    <t>859182400200422522</t>
  </si>
  <si>
    <t>Lidická DM – VO č. 14</t>
  </si>
  <si>
    <t>859182400200256592</t>
  </si>
  <si>
    <t>Záhumní VO č. 31</t>
  </si>
  <si>
    <t>859182400200268717</t>
  </si>
  <si>
    <t>Tovární kolonie VO č. 38</t>
  </si>
  <si>
    <t>859182400210534390</t>
  </si>
  <si>
    <t>Nádražní 2235/89 VO č. 35</t>
  </si>
  <si>
    <t>859182400200308468</t>
  </si>
  <si>
    <t>Sady 28. října – pošta 2 VO č.5</t>
  </si>
  <si>
    <t>859182400211787818</t>
  </si>
  <si>
    <t>Habrová seč, K/2004/11 - veřejné osvětlení</t>
  </si>
  <si>
    <t>859182400200344947</t>
  </si>
  <si>
    <t>Fibichova – sídl. RD – VO č. 22A</t>
  </si>
  <si>
    <t>859182400210792622</t>
  </si>
  <si>
    <t>Bratislavská – k 3613/6 VO č. 57</t>
  </si>
  <si>
    <t>859182400200451225</t>
  </si>
  <si>
    <t>Sady 28. října - fontány</t>
  </si>
  <si>
    <t>859182400200352768</t>
  </si>
  <si>
    <t>Křižovatka T.G. Masaryka VO č. 59</t>
  </si>
  <si>
    <t>859182400200304460</t>
  </si>
  <si>
    <t>J. Palacha – pěší zóna VO č. 55</t>
  </si>
  <si>
    <t>859182400200425158</t>
  </si>
  <si>
    <t>Mánesova 40 – VO č. 47</t>
  </si>
  <si>
    <t>859182400200511042</t>
  </si>
  <si>
    <t>Domek v parku – Sady 28. října</t>
  </si>
  <si>
    <t>859182400200370021</t>
  </si>
  <si>
    <t>Světelná křižovatka 1. máje</t>
  </si>
  <si>
    <t>859182400200434198</t>
  </si>
  <si>
    <t>Široký dvůr VO č. 39</t>
  </si>
  <si>
    <t>859182400211041729</t>
  </si>
  <si>
    <t>M. Kapusty - Přečerpávací st. - K/1272/1</t>
  </si>
  <si>
    <t>859182400200451362</t>
  </si>
  <si>
    <t>Sady 28. října- fontána č.5</t>
  </si>
  <si>
    <t>859182400211110876</t>
  </si>
  <si>
    <t>Gen. Šimka K/1896 – kaplička</t>
  </si>
  <si>
    <t>859182400212022130</t>
  </si>
  <si>
    <t>Břeclav K/5721/1 - světelná signalizace , 69002 Břeclav</t>
  </si>
  <si>
    <t>859182400201473851</t>
  </si>
  <si>
    <t>Hraniční za tratí 001 - veřejné osvětlení</t>
  </si>
  <si>
    <t>859182400201473714</t>
  </si>
  <si>
    <t>Hraniční za tratí 002 - veřejné osvětlení</t>
  </si>
  <si>
    <t>859182400201473721</t>
  </si>
  <si>
    <t>Hraniční za tratí 003 - veřejné osvětlení</t>
  </si>
  <si>
    <t>859182400201473745</t>
  </si>
  <si>
    <t>Hraniční za tratí 004 - veřejné osvětlení</t>
  </si>
  <si>
    <t>859182400201473738</t>
  </si>
  <si>
    <t>Hraniční za tratí 005 - veřejné osvětlení</t>
  </si>
  <si>
    <t>859182400201473752</t>
  </si>
  <si>
    <t>Hraniční za tratí 006 - veřejné osvětlení</t>
  </si>
  <si>
    <t>SNP - Tyršův sad - VO 58 , 69081 Břeclav</t>
  </si>
  <si>
    <t>859182400200301193</t>
  </si>
  <si>
    <t>Stromořadní – Nová – VO č. 8A</t>
  </si>
  <si>
    <t>859182400212710709</t>
  </si>
  <si>
    <t>kamerový bod 2</t>
  </si>
  <si>
    <t>859182400212370842</t>
  </si>
  <si>
    <t>radar na Valtické</t>
  </si>
  <si>
    <t>859182400212328683</t>
  </si>
  <si>
    <t>Cyklověž</t>
  </si>
  <si>
    <t>859182400212395630</t>
  </si>
  <si>
    <t>Dětské dopravní hřiště - energie za budovu</t>
  </si>
  <si>
    <t>859182400210646055</t>
  </si>
  <si>
    <t>Siréna - hasičská zbrojnice SDH Poštorná</t>
  </si>
  <si>
    <t>859182400211745894</t>
  </si>
  <si>
    <t>kamera</t>
  </si>
  <si>
    <t>Spotřeba vody (m3/rok)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</si>
  <si>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</si>
  <si>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</si>
  <si>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</si>
  <si>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</si>
  <si>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</si>
  <si>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</si>
  <si>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</si>
  <si>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</si>
  <si>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</si>
  <si>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</si>
  <si>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</si>
  <si>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</si>
  <si>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Spotřeba tepla (GJ)</t>
  </si>
  <si>
    <t>Cena celkem za teplo za celý rok (Kč)</t>
  </si>
  <si>
    <t>Spotřeba zemního plynu (MWh)</t>
  </si>
  <si>
    <t>Cena celkem za ZP za celý rok (Kč)</t>
  </si>
  <si>
    <t>Spotřeba elektřiny (MWh)</t>
  </si>
  <si>
    <t>Cena celkem za EE za celý rok (Kč)</t>
  </si>
  <si>
    <t>Teplo</t>
  </si>
  <si>
    <t>Zemní plyn</t>
  </si>
  <si>
    <t>MWh</t>
  </si>
  <si>
    <t>Celkem</t>
  </si>
  <si>
    <t>%</t>
  </si>
  <si>
    <t>Energetický audit</t>
  </si>
  <si>
    <t>Již vypracován</t>
  </si>
  <si>
    <t>v roce</t>
  </si>
  <si>
    <t>ANO/NE</t>
  </si>
  <si>
    <t>-</t>
  </si>
  <si>
    <t>Typ( budovy, VO, kamery, ostatní)</t>
  </si>
  <si>
    <t>Účel využití budovy</t>
  </si>
  <si>
    <t>průměr za dva roky</t>
  </si>
  <si>
    <t>MWh/kg</t>
  </si>
  <si>
    <t>Ostatní energonositelé - napsat o který se jedná (např. dřevo/biomasa atp)</t>
  </si>
  <si>
    <t>PENB - průkaz energetické náročnosti budobuy</t>
  </si>
  <si>
    <t>projektová dokumentace stavební části (kompletnost, aktuálnost)</t>
  </si>
  <si>
    <t>projketová dokumentace systémů technických zařízení budov (kompletnost, aktuálnost)</t>
  </si>
  <si>
    <t>revizní zprávy</t>
  </si>
  <si>
    <t>zdroj tepla (kotelna, CZT,…)</t>
  </si>
  <si>
    <t>nucené větrání</t>
  </si>
  <si>
    <t>chlazení</t>
  </si>
  <si>
    <t>výrobní technologie</t>
  </si>
  <si>
    <t>zateplení</t>
  </si>
  <si>
    <t>Vlastnictví</t>
  </si>
  <si>
    <t>EAN El .en.</t>
  </si>
  <si>
    <t>Elektrická energie - data nejsou uceleny ani za celý rok</t>
  </si>
  <si>
    <t>Veřejná budova</t>
  </si>
  <si>
    <t>Škola</t>
  </si>
  <si>
    <t>Policie</t>
  </si>
  <si>
    <t>Knihovna</t>
  </si>
  <si>
    <t>VO</t>
  </si>
  <si>
    <t>Kamera</t>
  </si>
  <si>
    <t>Semafor</t>
  </si>
  <si>
    <t>Fontána</t>
  </si>
  <si>
    <t>Přečerpávací stanice</t>
  </si>
  <si>
    <t>Kaplička</t>
  </si>
  <si>
    <t>radar</t>
  </si>
  <si>
    <t>Siréna</t>
  </si>
  <si>
    <t>Dopravní hřiště</t>
  </si>
  <si>
    <t>Domov Seniorů</t>
  </si>
  <si>
    <t>Krytý bazén</t>
  </si>
  <si>
    <t>Muzeum</t>
  </si>
  <si>
    <t>Volnočasové aktivity</t>
  </si>
  <si>
    <t>Městký úřad, pronajaté kanceláře</t>
  </si>
  <si>
    <t>ANO, stavební povolení 1Q/2022, celková rekonstrukce</t>
  </si>
  <si>
    <t>ANO, VZT a Osvětlení s el. instalací</t>
  </si>
  <si>
    <t>NE</t>
  </si>
  <si>
    <t>ANO, chlazení</t>
  </si>
  <si>
    <t>Kotelna v majetku CZT</t>
  </si>
  <si>
    <t>CZT</t>
  </si>
  <si>
    <t>ANO</t>
  </si>
  <si>
    <t>ANO, plánované</t>
  </si>
  <si>
    <t>NE, plánované</t>
  </si>
  <si>
    <t>ANO, kompresory pro výrobu chladu</t>
  </si>
  <si>
    <t xml:space="preserve">Cena celkem za teplo za celý rok </t>
  </si>
  <si>
    <t>Subjekt</t>
  </si>
  <si>
    <t>Statutár</t>
  </si>
  <si>
    <t>Odběrné místo</t>
  </si>
  <si>
    <t>Smluvní vztah</t>
  </si>
  <si>
    <t>Korespondenční adresa</t>
  </si>
  <si>
    <t>Předpokládaná roční spotřeba</t>
  </si>
  <si>
    <t>Název odběratele</t>
  </si>
  <si>
    <t>IČ</t>
  </si>
  <si>
    <t>DIČ</t>
  </si>
  <si>
    <t>Ulice</t>
  </si>
  <si>
    <t>Č.p.</t>
  </si>
  <si>
    <t>Č.o.</t>
  </si>
  <si>
    <t>Město</t>
  </si>
  <si>
    <t>PSČ</t>
  </si>
  <si>
    <t>Jméno</t>
  </si>
  <si>
    <t>Příjmení</t>
  </si>
  <si>
    <t>Funkce</t>
  </si>
  <si>
    <t>E-mail</t>
  </si>
  <si>
    <t>název OM</t>
  </si>
  <si>
    <t>Distributor</t>
  </si>
  <si>
    <t>Distribuční sazba</t>
  </si>
  <si>
    <t>Typ jističe</t>
  </si>
  <si>
    <t>Velikost jističe (A)</t>
  </si>
  <si>
    <t>dodavatel</t>
  </si>
  <si>
    <t>smlouva od</t>
  </si>
  <si>
    <t>smlouva do</t>
  </si>
  <si>
    <t>Název</t>
  </si>
  <si>
    <t>Celkem VT (MWh)</t>
  </si>
  <si>
    <t>Celkem NT (MWh)</t>
  </si>
  <si>
    <t>Celkem (MWh)</t>
  </si>
  <si>
    <t>Město Břeclav</t>
  </si>
  <si>
    <t>00283061</t>
  </si>
  <si>
    <t>CZ00283061</t>
  </si>
  <si>
    <t>nám. T. G. Masaryka</t>
  </si>
  <si>
    <t>Břeclav</t>
  </si>
  <si>
    <t>Bc. Svatopluk</t>
  </si>
  <si>
    <t>Pěček</t>
  </si>
  <si>
    <t>starosta</t>
  </si>
  <si>
    <t>starosta@breclav.eu</t>
  </si>
  <si>
    <t>Husova</t>
  </si>
  <si>
    <t>K/191</t>
  </si>
  <si>
    <t>E.ON Distribuce, a.s.</t>
  </si>
  <si>
    <t>C 01d</t>
  </si>
  <si>
    <t>jednofázový</t>
  </si>
  <si>
    <t>Kupkova 382/3</t>
  </si>
  <si>
    <t>třída 1. máje</t>
  </si>
  <si>
    <t>K/3681</t>
  </si>
  <si>
    <t>Svodinova</t>
  </si>
  <si>
    <t>K/181</t>
  </si>
  <si>
    <t>sady 28. října K/593/1, 69002 Břeclav</t>
  </si>
  <si>
    <t>sady 28. října</t>
  </si>
  <si>
    <t>K/593</t>
  </si>
  <si>
    <t>Na Valtické K/2103/1/D, 69141 Břeclav</t>
  </si>
  <si>
    <t>Na Valtické</t>
  </si>
  <si>
    <t>K/2103</t>
  </si>
  <si>
    <t>1/D</t>
  </si>
  <si>
    <t>Lidická 3411/33b, 69003 Břeclav</t>
  </si>
  <si>
    <t>Lidická</t>
  </si>
  <si>
    <t>33b</t>
  </si>
  <si>
    <t>Národních hrdinů K/3726/2, 69002 Břeclav</t>
  </si>
  <si>
    <t>Národních hrdinů</t>
  </si>
  <si>
    <t>K/3726</t>
  </si>
  <si>
    <t>Na Valtické K/2103/1/C, 69141 Břeclav</t>
  </si>
  <si>
    <t>1/C</t>
  </si>
  <si>
    <t>Na Valtické K/2181/1/A, 69141 Břeclav</t>
  </si>
  <si>
    <t>K/2181</t>
  </si>
  <si>
    <t>1/A</t>
  </si>
  <si>
    <t>Na Valtické K/2181/6, 69141 Břeclav</t>
  </si>
  <si>
    <t>Kupkova 3</t>
  </si>
  <si>
    <t>Kupkova</t>
  </si>
  <si>
    <t>859182400200348990</t>
  </si>
  <si>
    <t>C 02d</t>
  </si>
  <si>
    <t>třífázový</t>
  </si>
  <si>
    <t xml:space="preserve">Bc. Svatopluk </t>
  </si>
  <si>
    <t>Osvobození</t>
  </si>
  <si>
    <t>Břeclav - Poštorná</t>
  </si>
  <si>
    <t>Kupkova 382/4</t>
  </si>
  <si>
    <t>Valtická K/2181/6</t>
  </si>
  <si>
    <t>Kupkova 382/5</t>
  </si>
  <si>
    <t>859182400212904573</t>
  </si>
  <si>
    <t>C 46d</t>
  </si>
  <si>
    <t>třifázový</t>
  </si>
  <si>
    <t>Kupkova 382/6</t>
  </si>
  <si>
    <t>Přednádraží K/593/1</t>
  </si>
  <si>
    <t>Kupkova 382/7</t>
  </si>
  <si>
    <t>K/5721/1</t>
  </si>
  <si>
    <t>Kupkova 382/8</t>
  </si>
  <si>
    <t>SNP – Tyršův sad VO č. 58</t>
  </si>
  <si>
    <t>C 62d</t>
  </si>
  <si>
    <t>T.G.Masaryka 3</t>
  </si>
  <si>
    <t>nám. T.G.M. 42/3, sklad</t>
  </si>
  <si>
    <t>náměstí T. G. Masaryka</t>
  </si>
  <si>
    <t>859182400200352461</t>
  </si>
  <si>
    <t>C 45d</t>
  </si>
  <si>
    <t>OKT</t>
  </si>
  <si>
    <t>nám. T.G.M. 42/3, hl. budova</t>
  </si>
  <si>
    <t>859182400200350993</t>
  </si>
  <si>
    <t>C 26d</t>
  </si>
  <si>
    <t>nám. T.G.M. 42/3, přístavba</t>
  </si>
  <si>
    <t>859182400200352751</t>
  </si>
  <si>
    <t>U Stadionu, OSVD</t>
  </si>
  <si>
    <t>U Stadionu (OSVD)</t>
  </si>
  <si>
    <t>C 25d</t>
  </si>
  <si>
    <t>28. října</t>
  </si>
  <si>
    <t>M. Kapusty - Přečerpávací st. -</t>
  </si>
  <si>
    <t>K/1272</t>
  </si>
  <si>
    <t>Hraniční za tratí 001</t>
  </si>
  <si>
    <t>Hraniční za tratí 002</t>
  </si>
  <si>
    <t>Hraniční za tratí 003</t>
  </si>
  <si>
    <t>Hraniční za tratí 004</t>
  </si>
  <si>
    <t>Hraniční za tratí 005</t>
  </si>
  <si>
    <t>Hraniční za tratí 006</t>
  </si>
  <si>
    <t>T.G. Masaryka</t>
  </si>
  <si>
    <t>1. máje</t>
  </si>
  <si>
    <t>Sady 28. října</t>
  </si>
  <si>
    <t>Habrová seč, K/2004/11</t>
  </si>
  <si>
    <t>Slovácká</t>
  </si>
  <si>
    <t>K/3729</t>
  </si>
  <si>
    <t>SNP - Tyršův sad - VO 58</t>
  </si>
  <si>
    <t>Břeclav K/5721/1 - světelná signalizace</t>
  </si>
  <si>
    <t>Národního odboje</t>
  </si>
  <si>
    <t>Sady 28. října - A3</t>
  </si>
  <si>
    <t>A</t>
  </si>
  <si>
    <t>Sady 28. října - A1</t>
  </si>
  <si>
    <t>x</t>
  </si>
  <si>
    <t>Sady 28. října 2 - sklad</t>
  </si>
  <si>
    <t>Hřbitovní</t>
  </si>
  <si>
    <t>Rovnice</t>
  </si>
  <si>
    <t>Lednická</t>
  </si>
  <si>
    <t>hala nebytové prostory</t>
  </si>
  <si>
    <t>Veřejné WC Kufnerovo nábřeží</t>
  </si>
  <si>
    <t>U Stadionu</t>
  </si>
  <si>
    <t>17.listopadu 2995/1A</t>
  </si>
  <si>
    <t>17. listopadu</t>
  </si>
  <si>
    <t>1A</t>
  </si>
  <si>
    <t>nám.TGM 38/10 - bývalý MÚ</t>
  </si>
  <si>
    <t>Hájová</t>
  </si>
  <si>
    <t>Lanžhotská</t>
  </si>
  <si>
    <t>Bratislavská</t>
  </si>
  <si>
    <t>Krátká</t>
  </si>
  <si>
    <t>Na Zahradách</t>
  </si>
  <si>
    <t>Riegrova</t>
  </si>
  <si>
    <t>smuteční obřadní síň</t>
  </si>
  <si>
    <t>stará smuteční obřadní síň - nová smuteční obřadní síň - budova s č. p. 3581, která je součástí pozemku p. č. st. 2154 v k. ú. Břeclav, adresní místo Břeclav, Lanžhotská 3581/66a - má EAN: 859182400212233444 - je příhlášená na E.ON - asi po výstavbě se to příhlásilo a starý elektroměr se zrušil, ale v této evidenci to zůstalo - toto nové přefakturováme p. Kelemenové</t>
  </si>
  <si>
    <t>Tř. 1. Máje</t>
  </si>
  <si>
    <t>U Splavu</t>
  </si>
  <si>
    <t>2B</t>
  </si>
  <si>
    <t>Chodská</t>
  </si>
  <si>
    <t>Národních hrdinů - tržnice  na p.č.st.529/53</t>
  </si>
  <si>
    <t>bez č.p.</t>
  </si>
  <si>
    <t>toto je omylem vedeno jako Tržnice č. I, nicměně se jedná o budovu s č.p. 3499, která je součástí pozemku p.č.st. 529/57 v k. ú. Břeclav, s adresním místem  Národních hrdinů 3499/14a, kterou jsme v lednu roku 2019 prodali Jiřímu Bábíčkovi, elektrika je nyní napsaná na něj, ale opět z tohoto seznamu to nikdo nevymazal</t>
  </si>
  <si>
    <t>K.H.Máchy 3215/24, 69002 Břeclav</t>
  </si>
  <si>
    <t>K.H.Máchy</t>
  </si>
  <si>
    <t>bytový dům</t>
  </si>
  <si>
    <t>bytový dům spravuje na základě smlouvy o správě domů Bytové družstvo Byt 2000, družstvo - to má na sebe napsanou i elektriku</t>
  </si>
  <si>
    <t>Ostrov</t>
  </si>
  <si>
    <t>C 03d</t>
  </si>
  <si>
    <t>U Tržiště 2085/1</t>
  </si>
  <si>
    <t>U Tržiště</t>
  </si>
  <si>
    <t>859182400200371066</t>
  </si>
  <si>
    <t>kino</t>
  </si>
  <si>
    <t xml:space="preserve">Kino má na základě smlouvy o pachtu podniku v užívání Ing. Luděk Kabelka, IČO: 41533437, se sídlem Břeclav, U Tržiště 2085/1 - má na sebe napsanou i elektriku
</t>
  </si>
  <si>
    <t>859182400200371219</t>
  </si>
  <si>
    <t>859182400200371325</t>
  </si>
  <si>
    <t xml:space="preserve"> celkem  (GJ)</t>
  </si>
  <si>
    <t>Celkem 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</si>
</sst>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00"/>
    <numFmt numFmtId="165" formatCode="[$-10405]#,##0.000;\-#,##0.000"/>
    <numFmt numFmtId="166" formatCode="0.0%"/>
    <numFmt numFmtId="167" formatCode="0.0"/>
    <numFmt numFmtId="168" formatCode="0.000"/>
  </numFmts>
  <fonts count="19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rgb="FF00B05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u/>
      <sz val="8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/>
    <xf numFmtId="0" fontId="15" fillId="0" borderId="0" applyNumberFormat="0" applyFill="0" applyBorder="0" applyAlignment="0" applyProtection="0"/>
  </cellStyleXfs>
  <cellXfs count="212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4" fontId="3" fillId="0" borderId="0" xfId="0" applyNumberFormat="1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/>
    </xf>
    <xf numFmtId="164" fontId="3" fillId="0" borderId="12" xfId="0" applyNumberFormat="1" applyFont="1" applyBorder="1" applyAlignment="1">
      <alignment horizontal="center" vertical="center"/>
    </xf>
    <xf numFmtId="1" fontId="1" fillId="3" borderId="13" xfId="0" applyNumberFormat="1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" fontId="1" fillId="0" borderId="0" xfId="0" applyNumberFormat="1" applyFont="1"/>
    <xf numFmtId="49" fontId="3" fillId="0" borderId="14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/>
    </xf>
    <xf numFmtId="164" fontId="3" fillId="0" borderId="17" xfId="0" applyNumberFormat="1" applyFont="1" applyBorder="1" applyAlignment="1">
      <alignment horizontal="center" vertical="center"/>
    </xf>
    <xf numFmtId="1" fontId="1" fillId="3" borderId="18" xfId="0" applyNumberFormat="1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wrapText="1"/>
    </xf>
    <xf numFmtId="0" fontId="3" fillId="0" borderId="19" xfId="0" applyFont="1" applyBorder="1" applyAlignment="1">
      <alignment horizontal="left" vertical="center"/>
    </xf>
    <xf numFmtId="164" fontId="3" fillId="0" borderId="22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wrapText="1"/>
    </xf>
    <xf numFmtId="0" fontId="3" fillId="0" borderId="19" xfId="0" applyFont="1" applyBorder="1"/>
    <xf numFmtId="4" fontId="3" fillId="0" borderId="22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/>
    </xf>
    <xf numFmtId="0" fontId="3" fillId="0" borderId="19" xfId="0" applyFont="1" applyBorder="1" applyAlignment="1">
      <alignment vertical="center"/>
    </xf>
    <xf numFmtId="4" fontId="3" fillId="0" borderId="22" xfId="0" applyNumberFormat="1" applyFont="1" applyBorder="1" applyAlignment="1">
      <alignment horizontal="center"/>
    </xf>
    <xf numFmtId="0" fontId="6" fillId="0" borderId="0" xfId="0" applyFont="1"/>
    <xf numFmtId="0" fontId="3" fillId="2" borderId="19" xfId="0" applyFont="1" applyFill="1" applyBorder="1" applyAlignment="1">
      <alignment wrapText="1"/>
    </xf>
    <xf numFmtId="0" fontId="3" fillId="2" borderId="19" xfId="0" applyFont="1" applyFill="1" applyBorder="1"/>
    <xf numFmtId="0" fontId="1" fillId="0" borderId="10" xfId="0" applyFont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164" fontId="3" fillId="0" borderId="19" xfId="0" applyNumberFormat="1" applyFont="1" applyBorder="1" applyAlignment="1">
      <alignment horizontal="center" vertical="center"/>
    </xf>
    <xf numFmtId="1" fontId="1" fillId="0" borderId="19" xfId="0" applyNumberFormat="1" applyFont="1" applyBorder="1" applyAlignment="1">
      <alignment horizontal="center" vertical="center"/>
    </xf>
    <xf numFmtId="0" fontId="3" fillId="4" borderId="19" xfId="0" applyFont="1" applyFill="1" applyBorder="1" applyAlignment="1">
      <alignment horizontal="left" vertical="center"/>
    </xf>
    <xf numFmtId="0" fontId="0" fillId="0" borderId="19" xfId="0" applyBorder="1"/>
    <xf numFmtId="0" fontId="3" fillId="0" borderId="27" xfId="0" applyFont="1" applyBorder="1" applyAlignment="1">
      <alignment horizontal="left" vertical="center"/>
    </xf>
    <xf numFmtId="0" fontId="0" fillId="0" borderId="14" xfId="0" applyBorder="1"/>
    <xf numFmtId="0" fontId="9" fillId="5" borderId="11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5" xfId="0" applyBorder="1"/>
    <xf numFmtId="0" fontId="0" fillId="0" borderId="18" xfId="0" applyBorder="1"/>
    <xf numFmtId="0" fontId="0" fillId="0" borderId="20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3" fillId="0" borderId="35" xfId="0" applyFont="1" applyBorder="1" applyAlignment="1">
      <alignment horizontal="left" vertical="center"/>
    </xf>
    <xf numFmtId="0" fontId="3" fillId="0" borderId="35" xfId="0" applyFont="1" applyBorder="1"/>
    <xf numFmtId="0" fontId="3" fillId="0" borderId="35" xfId="0" applyFont="1" applyBorder="1" applyAlignment="1">
      <alignment wrapText="1"/>
    </xf>
    <xf numFmtId="0" fontId="3" fillId="0" borderId="3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horizontal="left" vertical="center"/>
    </xf>
    <xf numFmtId="0" fontId="3" fillId="6" borderId="29" xfId="0" applyFont="1" applyFill="1" applyBorder="1" applyAlignment="1">
      <alignment horizontal="left" vertical="center"/>
    </xf>
    <xf numFmtId="0" fontId="3" fillId="6" borderId="27" xfId="0" applyFont="1" applyFill="1" applyBorder="1" applyAlignment="1">
      <alignment horizontal="left" vertical="center"/>
    </xf>
    <xf numFmtId="0" fontId="3" fillId="6" borderId="27" xfId="0" applyFont="1" applyFill="1" applyBorder="1" applyAlignment="1">
      <alignment wrapText="1"/>
    </xf>
    <xf numFmtId="0" fontId="3" fillId="6" borderId="27" xfId="0" applyFont="1" applyFill="1" applyBorder="1"/>
    <xf numFmtId="0" fontId="3" fillId="6" borderId="27" xfId="0" applyFont="1" applyFill="1" applyBorder="1" applyAlignment="1">
      <alignment vertical="center"/>
    </xf>
    <xf numFmtId="0" fontId="3" fillId="7" borderId="33" xfId="0" applyFont="1" applyFill="1" applyBorder="1" applyAlignment="1">
      <alignment horizontal="left" vertical="center"/>
    </xf>
    <xf numFmtId="0" fontId="3" fillId="7" borderId="35" xfId="0" applyFont="1" applyFill="1" applyBorder="1" applyAlignment="1">
      <alignment horizontal="left" vertical="center"/>
    </xf>
    <xf numFmtId="0" fontId="3" fillId="7" borderId="35" xfId="0" applyFont="1" applyFill="1" applyBorder="1"/>
    <xf numFmtId="0" fontId="3" fillId="6" borderId="33" xfId="0" applyFont="1" applyFill="1" applyBorder="1" applyAlignment="1">
      <alignment horizontal="left" vertical="center"/>
    </xf>
    <xf numFmtId="0" fontId="3" fillId="6" borderId="35" xfId="0" applyFont="1" applyFill="1" applyBorder="1" applyAlignment="1">
      <alignment horizontal="left" vertical="center"/>
    </xf>
    <xf numFmtId="0" fontId="3" fillId="6" borderId="35" xfId="0" applyFont="1" applyFill="1" applyBorder="1"/>
    <xf numFmtId="0" fontId="3" fillId="6" borderId="27" xfId="0" applyFont="1" applyFill="1" applyBorder="1" applyAlignment="1">
      <alignment horizontal="left" vertical="center" wrapText="1"/>
    </xf>
    <xf numFmtId="0" fontId="3" fillId="7" borderId="29" xfId="0" applyFont="1" applyFill="1" applyBorder="1" applyAlignment="1">
      <alignment horizontal="left" vertical="center"/>
    </xf>
    <xf numFmtId="0" fontId="3" fillId="7" borderId="27" xfId="0" applyFont="1" applyFill="1" applyBorder="1" applyAlignment="1">
      <alignment horizontal="left" vertical="center"/>
    </xf>
    <xf numFmtId="0" fontId="3" fillId="7" borderId="27" xfId="0" applyFont="1" applyFill="1" applyBorder="1" applyAlignment="1">
      <alignment wrapText="1"/>
    </xf>
    <xf numFmtId="0" fontId="3" fillId="7" borderId="27" xfId="0" applyFont="1" applyFill="1" applyBorder="1" applyAlignment="1">
      <alignment vertical="center"/>
    </xf>
    <xf numFmtId="0" fontId="3" fillId="7" borderId="27" xfId="0" applyFont="1" applyFill="1" applyBorder="1"/>
    <xf numFmtId="0" fontId="3" fillId="0" borderId="27" xfId="0" applyFont="1" applyBorder="1"/>
    <xf numFmtId="0" fontId="3" fillId="2" borderId="27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vertical="center"/>
    </xf>
    <xf numFmtId="0" fontId="3" fillId="2" borderId="28" xfId="0" applyFont="1" applyFill="1" applyBorder="1" applyAlignment="1">
      <alignment horizontal="left" vertical="center"/>
    </xf>
    <xf numFmtId="0" fontId="9" fillId="5" borderId="37" xfId="0" applyFont="1" applyFill="1" applyBorder="1" applyAlignment="1">
      <alignment horizontal="center" vertical="center"/>
    </xf>
    <xf numFmtId="0" fontId="9" fillId="5" borderId="38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0" fillId="0" borderId="17" xfId="0" applyBorder="1"/>
    <xf numFmtId="165" fontId="14" fillId="0" borderId="32" xfId="3" applyNumberFormat="1" applyFont="1" applyBorder="1" applyAlignment="1">
      <alignment horizontal="right" vertical="top" wrapText="1" readingOrder="1"/>
    </xf>
    <xf numFmtId="165" fontId="14" fillId="0" borderId="30" xfId="3" applyNumberFormat="1" applyFont="1" applyBorder="1" applyAlignment="1">
      <alignment horizontal="right" vertical="top" wrapText="1" readingOrder="1"/>
    </xf>
    <xf numFmtId="0" fontId="0" fillId="0" borderId="30" xfId="0" applyBorder="1"/>
    <xf numFmtId="0" fontId="0" fillId="0" borderId="22" xfId="0" applyBorder="1"/>
    <xf numFmtId="0" fontId="3" fillId="0" borderId="27" xfId="0" applyFont="1" applyBorder="1" applyAlignment="1">
      <alignment wrapText="1"/>
    </xf>
    <xf numFmtId="0" fontId="0" fillId="0" borderId="25" xfId="0" applyBorder="1"/>
    <xf numFmtId="0" fontId="0" fillId="0" borderId="40" xfId="0" applyBorder="1"/>
    <xf numFmtId="165" fontId="0" fillId="0" borderId="26" xfId="0" applyNumberFormat="1" applyBorder="1"/>
    <xf numFmtId="165" fontId="0" fillId="0" borderId="27" xfId="0" applyNumberFormat="1" applyBorder="1"/>
    <xf numFmtId="165" fontId="0" fillId="0" borderId="28" xfId="0" applyNumberFormat="1" applyBorder="1"/>
    <xf numFmtId="166" fontId="0" fillId="0" borderId="48" xfId="2" applyNumberFormat="1" applyFont="1" applyBorder="1"/>
    <xf numFmtId="0" fontId="5" fillId="0" borderId="50" xfId="0" applyFont="1" applyBorder="1" applyAlignment="1">
      <alignment horizontal="left" vertical="center"/>
    </xf>
    <xf numFmtId="0" fontId="9" fillId="0" borderId="5" xfId="0" applyFont="1" applyBorder="1"/>
    <xf numFmtId="43" fontId="9" fillId="0" borderId="5" xfId="1" applyFont="1" applyBorder="1"/>
    <xf numFmtId="0" fontId="9" fillId="0" borderId="6" xfId="0" applyFont="1" applyBorder="1"/>
    <xf numFmtId="4" fontId="0" fillId="0" borderId="27" xfId="0" applyNumberFormat="1" applyBorder="1"/>
    <xf numFmtId="0" fontId="0" fillId="5" borderId="26" xfId="0" applyFill="1" applyBorder="1"/>
    <xf numFmtId="0" fontId="0" fillId="5" borderId="47" xfId="0" applyFill="1" applyBorder="1"/>
    <xf numFmtId="0" fontId="0" fillId="5" borderId="27" xfId="0" applyFill="1" applyBorder="1"/>
    <xf numFmtId="0" fontId="0" fillId="5" borderId="48" xfId="0" applyFill="1" applyBorder="1"/>
    <xf numFmtId="0" fontId="0" fillId="5" borderId="18" xfId="0" applyFill="1" applyBorder="1"/>
    <xf numFmtId="0" fontId="0" fillId="5" borderId="20" xfId="0" applyFill="1" applyBorder="1"/>
    <xf numFmtId="0" fontId="0" fillId="5" borderId="28" xfId="0" applyFill="1" applyBorder="1"/>
    <xf numFmtId="0" fontId="0" fillId="5" borderId="49" xfId="0" applyFill="1" applyBorder="1"/>
    <xf numFmtId="0" fontId="0" fillId="5" borderId="10" xfId="0" applyFill="1" applyBorder="1"/>
    <xf numFmtId="0" fontId="0" fillId="5" borderId="12" xfId="0" applyFill="1" applyBorder="1"/>
    <xf numFmtId="0" fontId="0" fillId="5" borderId="26" xfId="0" applyFill="1" applyBorder="1" applyAlignment="1">
      <alignment wrapText="1"/>
    </xf>
    <xf numFmtId="4" fontId="0" fillId="0" borderId="27" xfId="0" applyNumberFormat="1" applyBorder="1" applyAlignment="1">
      <alignment wrapText="1"/>
    </xf>
    <xf numFmtId="0" fontId="3" fillId="0" borderId="42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32" xfId="0" applyBorder="1"/>
    <xf numFmtId="0" fontId="0" fillId="0" borderId="31" xfId="0" applyBorder="1"/>
    <xf numFmtId="4" fontId="12" fillId="0" borderId="27" xfId="0" applyNumberFormat="1" applyFont="1" applyBorder="1"/>
    <xf numFmtId="0" fontId="12" fillId="5" borderId="26" xfId="0" applyFont="1" applyFill="1" applyBorder="1" applyAlignment="1">
      <alignment wrapText="1"/>
    </xf>
    <xf numFmtId="0" fontId="0" fillId="8" borderId="20" xfId="0" applyFill="1" applyBorder="1"/>
    <xf numFmtId="3" fontId="16" fillId="0" borderId="0" xfId="0" applyNumberFormat="1" applyFont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49" fontId="10" fillId="0" borderId="19" xfId="0" applyNumberFormat="1" applyFont="1" applyBorder="1" applyAlignment="1">
      <alignment horizontal="center"/>
    </xf>
    <xf numFmtId="167" fontId="10" fillId="0" borderId="19" xfId="0" applyNumberFormat="1" applyFont="1" applyBorder="1" applyAlignment="1">
      <alignment horizontal="center"/>
    </xf>
    <xf numFmtId="168" fontId="10" fillId="0" borderId="19" xfId="0" applyNumberFormat="1" applyFont="1" applyBorder="1" applyAlignment="1">
      <alignment horizontal="center"/>
    </xf>
    <xf numFmtId="168" fontId="16" fillId="0" borderId="19" xfId="0" applyNumberFormat="1" applyFont="1" applyBorder="1" applyAlignment="1">
      <alignment horizontal="center"/>
    </xf>
    <xf numFmtId="0" fontId="18" fillId="0" borderId="19" xfId="4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49" fontId="10" fillId="2" borderId="19" xfId="0" applyNumberFormat="1" applyFont="1" applyFill="1" applyBorder="1" applyAlignment="1">
      <alignment horizontal="center"/>
    </xf>
    <xf numFmtId="167" fontId="10" fillId="2" borderId="19" xfId="0" applyNumberFormat="1" applyFont="1" applyFill="1" applyBorder="1" applyAlignment="1">
      <alignment horizontal="center"/>
    </xf>
    <xf numFmtId="168" fontId="10" fillId="2" borderId="19" xfId="0" applyNumberFormat="1" applyFont="1" applyFill="1" applyBorder="1" applyAlignment="1">
      <alignment horizontal="center"/>
    </xf>
    <xf numFmtId="0" fontId="0" fillId="8" borderId="0" xfId="0" applyFill="1" applyAlignment="1">
      <alignment wrapText="1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5" borderId="32" xfId="0" applyFont="1" applyFill="1" applyBorder="1" applyAlignment="1">
      <alignment horizontal="center"/>
    </xf>
    <xf numFmtId="0" fontId="9" fillId="5" borderId="30" xfId="0" applyFont="1" applyFill="1" applyBorder="1" applyAlignment="1">
      <alignment horizontal="center"/>
    </xf>
    <xf numFmtId="0" fontId="9" fillId="5" borderId="31" xfId="0" applyFont="1" applyFill="1" applyBorder="1" applyAlignment="1">
      <alignment horizontal="center"/>
    </xf>
    <xf numFmtId="0" fontId="9" fillId="5" borderId="18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5" borderId="34" xfId="0" applyFont="1" applyFill="1" applyBorder="1" applyAlignment="1">
      <alignment horizontal="center" vertical="center"/>
    </xf>
    <xf numFmtId="0" fontId="9" fillId="5" borderId="35" xfId="0" applyFont="1" applyFill="1" applyBorder="1" applyAlignment="1">
      <alignment horizontal="center" vertical="center"/>
    </xf>
    <xf numFmtId="0" fontId="9" fillId="5" borderId="36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center" vertical="center" wrapText="1"/>
    </xf>
    <xf numFmtId="0" fontId="9" fillId="5" borderId="39" xfId="0" applyFont="1" applyFill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/>
    </xf>
    <xf numFmtId="0" fontId="9" fillId="5" borderId="46" xfId="0" applyFont="1" applyFill="1" applyBorder="1" applyAlignment="1">
      <alignment horizontal="center" vertical="center" wrapText="1"/>
    </xf>
    <xf numFmtId="0" fontId="9" fillId="5" borderId="44" xfId="0" applyFont="1" applyFill="1" applyBorder="1" applyAlignment="1">
      <alignment horizontal="center" vertical="center" wrapText="1"/>
    </xf>
    <xf numFmtId="0" fontId="9" fillId="5" borderId="45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5" borderId="41" xfId="0" applyFont="1" applyFill="1" applyBorder="1" applyAlignment="1">
      <alignment horizontal="center" vertical="center"/>
    </xf>
    <xf numFmtId="0" fontId="9" fillId="5" borderId="42" xfId="0" applyFont="1" applyFill="1" applyBorder="1" applyAlignment="1">
      <alignment horizontal="center" vertical="center"/>
    </xf>
    <xf numFmtId="0" fontId="9" fillId="5" borderId="43" xfId="0" applyFont="1" applyFill="1" applyBorder="1" applyAlignment="1">
      <alignment horizontal="center" vertical="center"/>
    </xf>
    <xf numFmtId="0" fontId="0" fillId="5" borderId="32" xfId="0" applyFill="1" applyBorder="1" applyAlignment="1">
      <alignment horizontal="center"/>
    </xf>
    <xf numFmtId="0" fontId="0" fillId="5" borderId="31" xfId="0" applyFill="1" applyBorder="1" applyAlignment="1">
      <alignment horizontal="center"/>
    </xf>
    <xf numFmtId="0" fontId="0" fillId="5" borderId="32" xfId="0" applyFill="1" applyBorder="1" applyAlignment="1">
      <alignment horizontal="center" wrapText="1"/>
    </xf>
    <xf numFmtId="0" fontId="0" fillId="5" borderId="31" xfId="0" applyFill="1" applyBorder="1" applyAlignment="1">
      <alignment horizontal="center" wrapText="1"/>
    </xf>
  </cellXfs>
  <cellStyles count="5">
    <cellStyle name="Čárka" xfId="1" builtinId="3"/>
    <cellStyle name="Hypertextový odkaz" xfId="4" builtinId="8"/>
    <cellStyle name="Normal" xfId="3" xr:uid="{AB5941FC-B40D-4840-A3CB-5F322D05CD67}"/>
    <cellStyle name="Normální" xfId="0" builtinId="0"/>
    <cellStyle name="Procenta" xfId="2" builtinId="5"/>
  </cellStyles>
  <dxfs count="4"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starosta@breclav.eu" TargetMode="External"/><Relationship Id="rId1" Type="http://schemas.openxmlformats.org/officeDocument/2006/relationships/hyperlink" Target="mailto:starosta@breclav.eu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0769F-F6A1-4D7A-9650-83A910344583}">
  <dimension ref="A1:AI192"/>
  <sheetViews>
    <sheetView topLeftCell="C1" workbookViewId="0">
      <selection activeCell="D35" sqref="D35"/>
    </sheetView>
  </sheetViews>
  <sheetFormatPr defaultColWidth="8.88671875" defaultRowHeight="12" x14ac:dyDescent="0.25"/>
  <cols>
    <col min="1" max="1" width="2.6640625" style="1" hidden="1" customWidth="1"/>
    <col min="2" max="2" width="10.33203125" style="1" hidden="1" customWidth="1"/>
    <col min="3" max="3" width="19.6640625" style="68" customWidth="1"/>
    <col min="4" max="4" width="26.6640625" style="3" customWidth="1"/>
    <col min="5" max="5" width="26.33203125" style="3" customWidth="1"/>
    <col min="6" max="6" width="15.6640625" style="4" customWidth="1"/>
    <col min="7" max="7" width="9.33203125" style="5" customWidth="1"/>
    <col min="8" max="8" width="8.88671875" style="1" customWidth="1"/>
    <col min="9" max="9" width="17.44140625" style="1" customWidth="1"/>
    <col min="10" max="10" width="8.88671875" style="1" customWidth="1"/>
    <col min="11" max="11" width="11.6640625" style="1" customWidth="1"/>
    <col min="12" max="31" width="8.88671875" style="1" customWidth="1"/>
    <col min="32" max="33" width="11.33203125" style="5" customWidth="1"/>
    <col min="34" max="34" width="8.88671875" style="1"/>
    <col min="35" max="35" width="10.44140625" style="1" customWidth="1"/>
    <col min="36" max="16384" width="8.88671875" style="1"/>
  </cols>
  <sheetData>
    <row r="1" spans="2:35" ht="15.6" x14ac:dyDescent="0.3">
      <c r="C1" s="2" t="s">
        <v>0</v>
      </c>
    </row>
    <row r="2" spans="2:35" ht="30.6" customHeight="1" x14ac:dyDescent="0.25">
      <c r="C2" s="174" t="s">
        <v>1</v>
      </c>
      <c r="D2" s="174"/>
      <c r="E2" s="174"/>
    </row>
    <row r="3" spans="2:35" ht="23.4" customHeight="1" x14ac:dyDescent="0.25">
      <c r="C3" s="175" t="s">
        <v>2</v>
      </c>
      <c r="D3" s="175"/>
      <c r="E3" s="175"/>
    </row>
    <row r="4" spans="2:35" ht="12.6" thickBot="1" x14ac:dyDescent="0.3">
      <c r="C4" s="176"/>
      <c r="D4" s="176"/>
      <c r="E4" s="176"/>
    </row>
    <row r="5" spans="2:35" s="6" customFormat="1" ht="12.6" thickBot="1" x14ac:dyDescent="0.35">
      <c r="C5" s="7"/>
      <c r="D5" s="8"/>
      <c r="E5" s="8"/>
      <c r="F5" s="9"/>
      <c r="G5" s="10"/>
      <c r="H5" s="172" t="s">
        <v>3</v>
      </c>
      <c r="I5" s="172"/>
      <c r="J5" s="172"/>
      <c r="K5" s="173"/>
      <c r="L5" s="11"/>
      <c r="M5" s="172" t="s">
        <v>4</v>
      </c>
      <c r="N5" s="172"/>
      <c r="O5" s="172"/>
      <c r="P5" s="172"/>
      <c r="Q5" s="10"/>
      <c r="R5" s="172" t="s">
        <v>5</v>
      </c>
      <c r="S5" s="172"/>
      <c r="T5" s="172"/>
      <c r="U5" s="173"/>
      <c r="V5" s="11"/>
      <c r="W5" s="172" t="s">
        <v>6</v>
      </c>
      <c r="X5" s="172"/>
      <c r="Y5" s="172"/>
      <c r="Z5" s="172"/>
      <c r="AA5" s="10"/>
      <c r="AB5" s="172" t="s">
        <v>402</v>
      </c>
      <c r="AC5" s="172"/>
      <c r="AD5" s="172"/>
      <c r="AE5" s="173"/>
      <c r="AF5" s="11"/>
      <c r="AG5" s="12"/>
    </row>
    <row r="6" spans="2:35" s="22" customFormat="1" ht="48.6" thickBot="1" x14ac:dyDescent="0.35">
      <c r="B6" s="13"/>
      <c r="C6" s="7" t="s">
        <v>7</v>
      </c>
      <c r="D6" s="14" t="s">
        <v>8</v>
      </c>
      <c r="E6" s="14" t="s">
        <v>9</v>
      </c>
      <c r="F6" s="15" t="s">
        <v>10</v>
      </c>
      <c r="G6" s="16" t="s">
        <v>11</v>
      </c>
      <c r="H6" s="17">
        <v>2018</v>
      </c>
      <c r="I6" s="17">
        <v>2019</v>
      </c>
      <c r="J6" s="17">
        <v>2020</v>
      </c>
      <c r="K6" s="18" t="s">
        <v>12</v>
      </c>
      <c r="L6" s="19" t="s">
        <v>13</v>
      </c>
      <c r="M6" s="20">
        <v>2018</v>
      </c>
      <c r="N6" s="20">
        <v>2019</v>
      </c>
      <c r="O6" s="20">
        <v>2020</v>
      </c>
      <c r="P6" s="20" t="s">
        <v>12</v>
      </c>
      <c r="Q6" s="19" t="s">
        <v>13</v>
      </c>
      <c r="R6" s="20">
        <v>2018</v>
      </c>
      <c r="S6" s="20">
        <v>2019</v>
      </c>
      <c r="T6" s="20">
        <v>2020</v>
      </c>
      <c r="U6" s="21" t="s">
        <v>12</v>
      </c>
      <c r="V6" s="20" t="s">
        <v>13</v>
      </c>
      <c r="W6" s="20">
        <v>2018</v>
      </c>
      <c r="X6" s="20">
        <v>2019</v>
      </c>
      <c r="Y6" s="20">
        <v>2020</v>
      </c>
      <c r="Z6" s="20" t="s">
        <v>12</v>
      </c>
      <c r="AA6" s="19" t="s">
        <v>13</v>
      </c>
      <c r="AB6" s="20">
        <v>2018</v>
      </c>
      <c r="AC6" s="20">
        <v>2019</v>
      </c>
      <c r="AD6" s="20">
        <v>2020</v>
      </c>
      <c r="AE6" s="20" t="s">
        <v>12</v>
      </c>
      <c r="AF6" s="19" t="s">
        <v>14</v>
      </c>
      <c r="AG6" s="21" t="s">
        <v>15</v>
      </c>
    </row>
    <row r="7" spans="2:35" ht="12.6" thickBot="1" x14ac:dyDescent="0.3">
      <c r="B7" s="3" t="s">
        <v>16</v>
      </c>
      <c r="C7" s="23" t="s">
        <v>17</v>
      </c>
      <c r="D7" s="24" t="s">
        <v>18</v>
      </c>
      <c r="E7" s="24" t="s">
        <v>19</v>
      </c>
      <c r="F7" s="25">
        <v>683.7</v>
      </c>
      <c r="G7" s="26">
        <v>1</v>
      </c>
      <c r="H7" s="27">
        <v>569.98900000000003</v>
      </c>
      <c r="I7" s="27">
        <v>636.41300000000001</v>
      </c>
      <c r="J7" s="27"/>
      <c r="K7" s="28"/>
      <c r="L7" s="29"/>
      <c r="M7" s="27"/>
      <c r="N7" s="27"/>
      <c r="O7" s="27"/>
      <c r="P7" s="30"/>
      <c r="Q7" s="31"/>
      <c r="R7" s="27">
        <v>3444.069</v>
      </c>
      <c r="S7" s="27">
        <v>3674.6439999999998</v>
      </c>
      <c r="T7" s="27"/>
      <c r="U7" s="28"/>
      <c r="V7" s="29"/>
      <c r="W7" s="27"/>
      <c r="X7" s="27"/>
      <c r="Y7" s="27"/>
      <c r="Z7" s="30"/>
      <c r="AA7" s="31"/>
      <c r="AB7" s="27">
        <v>4417</v>
      </c>
      <c r="AC7" s="27">
        <v>5078.9979999999996</v>
      </c>
      <c r="AD7" s="27"/>
      <c r="AE7" s="30"/>
      <c r="AF7" s="32">
        <v>1900</v>
      </c>
      <c r="AG7" s="33">
        <v>7270</v>
      </c>
      <c r="AI7" s="34"/>
    </row>
    <row r="8" spans="2:35" ht="53.4" customHeight="1" x14ac:dyDescent="0.25">
      <c r="C8" s="35" t="s">
        <v>20</v>
      </c>
      <c r="D8" s="36" t="s">
        <v>21</v>
      </c>
      <c r="E8" s="36" t="s">
        <v>22</v>
      </c>
      <c r="F8" s="37">
        <f>6.973+291.304+6.457589+61.187</f>
        <v>365.92158899999998</v>
      </c>
      <c r="G8" s="38">
        <v>4</v>
      </c>
      <c r="H8" s="39">
        <f>291.303+7.092+4.17</f>
        <v>302.565</v>
      </c>
      <c r="I8" s="39"/>
      <c r="J8" s="39"/>
      <c r="K8" s="40"/>
      <c r="L8" s="41"/>
      <c r="M8" s="39"/>
      <c r="N8" s="39"/>
      <c r="O8" s="39"/>
      <c r="P8" s="42"/>
      <c r="Q8" s="43"/>
      <c r="R8" s="39">
        <v>770.505</v>
      </c>
      <c r="S8" s="39"/>
      <c r="T8" s="39"/>
      <c r="U8" s="40"/>
      <c r="V8" s="41"/>
      <c r="W8" s="39">
        <v>94.998999999999995</v>
      </c>
      <c r="X8" s="39"/>
      <c r="Y8" s="39"/>
      <c r="Z8" s="42"/>
      <c r="AA8" s="43"/>
      <c r="AB8" s="39"/>
      <c r="AC8" s="39"/>
      <c r="AD8" s="39"/>
      <c r="AE8" s="42"/>
      <c r="AF8" s="44">
        <f>150+460</f>
        <v>610</v>
      </c>
      <c r="AG8" s="45">
        <v>1390</v>
      </c>
      <c r="AI8" s="35"/>
    </row>
    <row r="9" spans="2:35" x14ac:dyDescent="0.25">
      <c r="B9" s="1" t="s">
        <v>23</v>
      </c>
      <c r="C9" s="46" t="s">
        <v>24</v>
      </c>
      <c r="D9" s="47" t="s">
        <v>25</v>
      </c>
      <c r="E9" s="48" t="s">
        <v>26</v>
      </c>
      <c r="F9" s="49">
        <v>326.89999999999998</v>
      </c>
      <c r="G9" s="38">
        <v>1</v>
      </c>
      <c r="H9" s="39">
        <v>359.20299999999997</v>
      </c>
      <c r="I9" s="39">
        <v>373.44</v>
      </c>
      <c r="J9" s="39"/>
      <c r="K9" s="40"/>
      <c r="L9" s="41"/>
      <c r="M9" s="39"/>
      <c r="N9" s="39"/>
      <c r="O9" s="39"/>
      <c r="P9" s="42"/>
      <c r="Q9" s="43"/>
      <c r="R9" s="39">
        <v>3068.181</v>
      </c>
      <c r="S9" s="39">
        <v>3118.6779999999999</v>
      </c>
      <c r="T9" s="39"/>
      <c r="U9" s="40"/>
      <c r="V9" s="41"/>
      <c r="W9" s="39">
        <v>157.84</v>
      </c>
      <c r="X9" s="39">
        <v>154.56</v>
      </c>
      <c r="Y9" s="39"/>
      <c r="Z9" s="42"/>
      <c r="AA9" s="43"/>
      <c r="AB9" s="39">
        <v>5253</v>
      </c>
      <c r="AC9" s="39">
        <v>7280.9989999999998</v>
      </c>
      <c r="AD9" s="39"/>
      <c r="AE9" s="42"/>
      <c r="AF9" s="44">
        <v>800</v>
      </c>
      <c r="AG9" s="45">
        <v>1850</v>
      </c>
      <c r="AI9" s="34"/>
    </row>
    <row r="10" spans="2:35" x14ac:dyDescent="0.25">
      <c r="C10" s="46" t="s">
        <v>27</v>
      </c>
      <c r="D10" s="48" t="s">
        <v>28</v>
      </c>
      <c r="E10" s="48" t="s">
        <v>29</v>
      </c>
      <c r="F10" s="49">
        <v>298.83699999999999</v>
      </c>
      <c r="G10" s="38">
        <v>1</v>
      </c>
      <c r="H10" s="39">
        <v>287.64499999999998</v>
      </c>
      <c r="I10" s="39">
        <v>225.44399999999999</v>
      </c>
      <c r="J10" s="39"/>
      <c r="K10" s="40"/>
      <c r="L10" s="41"/>
      <c r="M10" s="39">
        <v>307.94</v>
      </c>
      <c r="N10" s="39">
        <v>252.61</v>
      </c>
      <c r="O10" s="39"/>
      <c r="P10" s="42"/>
      <c r="Q10" s="43"/>
      <c r="R10" s="39">
        <v>1538.74</v>
      </c>
      <c r="S10" s="39"/>
      <c r="T10" s="39"/>
      <c r="U10" s="40"/>
      <c r="V10" s="41"/>
      <c r="W10" s="39">
        <v>1227.8800000000001</v>
      </c>
      <c r="X10" s="39"/>
      <c r="Y10" s="39"/>
      <c r="Z10" s="42"/>
      <c r="AA10" s="43"/>
      <c r="AB10" s="39">
        <v>10879</v>
      </c>
      <c r="AC10" s="39"/>
      <c r="AD10" s="39"/>
      <c r="AE10" s="42"/>
      <c r="AF10" s="44">
        <v>0</v>
      </c>
      <c r="AG10" s="45">
        <v>2230</v>
      </c>
      <c r="AI10" s="34"/>
    </row>
    <row r="11" spans="2:35" x14ac:dyDescent="0.25">
      <c r="C11" s="50" t="s">
        <v>30</v>
      </c>
      <c r="D11" s="51" t="s">
        <v>31</v>
      </c>
      <c r="E11" s="51" t="s">
        <v>32</v>
      </c>
      <c r="F11" s="52">
        <v>140.80000000000001</v>
      </c>
      <c r="G11" s="38">
        <v>1</v>
      </c>
      <c r="H11" s="39"/>
      <c r="I11" s="39"/>
      <c r="J11" s="39"/>
      <c r="K11" s="40"/>
      <c r="L11" s="41"/>
      <c r="M11" s="39"/>
      <c r="N11" s="39"/>
      <c r="O11" s="39"/>
      <c r="P11" s="42"/>
      <c r="Q11" s="43"/>
      <c r="R11" s="39"/>
      <c r="S11" s="39"/>
      <c r="T11" s="39"/>
      <c r="U11" s="40"/>
      <c r="V11" s="41"/>
      <c r="W11" s="39"/>
      <c r="X11" s="39"/>
      <c r="Y11" s="39"/>
      <c r="Z11" s="42"/>
      <c r="AA11" s="43"/>
      <c r="AB11" s="39"/>
      <c r="AC11" s="39"/>
      <c r="AD11" s="39"/>
      <c r="AE11" s="42"/>
      <c r="AF11" s="44">
        <f>215+300+100+125</f>
        <v>740</v>
      </c>
      <c r="AG11" s="45">
        <v>4500</v>
      </c>
      <c r="AI11" s="34"/>
    </row>
    <row r="12" spans="2:35" ht="15.6" customHeight="1" x14ac:dyDescent="0.25">
      <c r="C12" s="46" t="s">
        <v>33</v>
      </c>
      <c r="D12" s="48" t="s">
        <v>34</v>
      </c>
      <c r="E12" s="48" t="s">
        <v>35</v>
      </c>
      <c r="F12" s="49">
        <v>93</v>
      </c>
      <c r="G12" s="38">
        <v>1</v>
      </c>
      <c r="H12" s="39"/>
      <c r="I12" s="39"/>
      <c r="J12" s="39"/>
      <c r="K12" s="40"/>
      <c r="L12" s="41"/>
      <c r="M12" s="39"/>
      <c r="N12" s="39"/>
      <c r="O12" s="39"/>
      <c r="P12" s="42"/>
      <c r="Q12" s="43"/>
      <c r="R12" s="39">
        <v>1516.59</v>
      </c>
      <c r="S12" s="39"/>
      <c r="T12" s="39"/>
      <c r="U12" s="40"/>
      <c r="V12" s="41"/>
      <c r="W12" s="39">
        <v>64.55</v>
      </c>
      <c r="X12" s="39"/>
      <c r="Y12" s="39"/>
      <c r="Z12" s="42"/>
      <c r="AA12" s="43"/>
      <c r="AB12" s="39"/>
      <c r="AC12" s="39"/>
      <c r="AD12" s="39"/>
      <c r="AE12" s="42"/>
      <c r="AF12" s="44">
        <f>885+350</f>
        <v>1235</v>
      </c>
      <c r="AG12" s="45">
        <v>2200</v>
      </c>
      <c r="AI12" s="34"/>
    </row>
    <row r="13" spans="2:35" ht="51" customHeight="1" x14ac:dyDescent="0.25">
      <c r="B13" s="1" t="s">
        <v>16</v>
      </c>
      <c r="C13" s="46" t="s">
        <v>36</v>
      </c>
      <c r="D13" s="53" t="s">
        <v>37</v>
      </c>
      <c r="E13" s="48" t="s">
        <v>38</v>
      </c>
      <c r="F13" s="49">
        <f>61.977+9.20558+8.871558+12.003058</f>
        <v>92.05719599999999</v>
      </c>
      <c r="G13" s="38">
        <v>4</v>
      </c>
      <c r="H13" s="39"/>
      <c r="I13" s="39"/>
      <c r="J13" s="39"/>
      <c r="K13" s="40"/>
      <c r="L13" s="41"/>
      <c r="M13" s="39"/>
      <c r="N13" s="39"/>
      <c r="O13" s="39"/>
      <c r="P13" s="42"/>
      <c r="Q13" s="43"/>
      <c r="R13" s="39"/>
      <c r="S13" s="39"/>
      <c r="T13" s="39"/>
      <c r="U13" s="40"/>
      <c r="V13" s="41"/>
      <c r="W13" s="39"/>
      <c r="X13" s="39"/>
      <c r="Y13" s="39"/>
      <c r="Z13" s="42"/>
      <c r="AA13" s="43"/>
      <c r="AB13" s="39">
        <v>170</v>
      </c>
      <c r="AC13" s="39">
        <v>175.999</v>
      </c>
      <c r="AD13" s="39">
        <v>168.001</v>
      </c>
      <c r="AE13" s="42"/>
      <c r="AF13" s="44">
        <v>350</v>
      </c>
      <c r="AG13" s="45">
        <v>580</v>
      </c>
    </row>
    <row r="14" spans="2:35" ht="36" x14ac:dyDescent="0.25">
      <c r="B14" s="1" t="s">
        <v>16</v>
      </c>
      <c r="C14" s="46" t="s">
        <v>39</v>
      </c>
      <c r="D14" s="48" t="s">
        <v>40</v>
      </c>
      <c r="E14" s="48" t="s">
        <v>41</v>
      </c>
      <c r="F14" s="49">
        <f>59.015+30.492+0.117159</f>
        <v>89.624159000000006</v>
      </c>
      <c r="G14" s="38">
        <v>3</v>
      </c>
      <c r="H14" s="39">
        <f>51.838+28.165</f>
        <v>80.003</v>
      </c>
      <c r="I14" s="39">
        <f>50.269+26.641</f>
        <v>76.91</v>
      </c>
      <c r="J14" s="39">
        <f>43.123+19.525</f>
        <v>62.647999999999996</v>
      </c>
      <c r="K14" s="40"/>
      <c r="L14" s="41"/>
      <c r="M14" s="39">
        <v>4.07</v>
      </c>
      <c r="N14" s="39">
        <v>4.5910000000000002</v>
      </c>
      <c r="O14" s="39">
        <v>3.8439999999999999</v>
      </c>
      <c r="P14" s="42"/>
      <c r="Q14" s="43"/>
      <c r="R14" s="39">
        <v>1736.6590000000001</v>
      </c>
      <c r="S14" s="39">
        <v>1717.9870000000001</v>
      </c>
      <c r="T14" s="39">
        <v>1596.9870000000001</v>
      </c>
      <c r="U14" s="40"/>
      <c r="V14" s="41"/>
      <c r="W14" s="39">
        <v>169.679</v>
      </c>
      <c r="X14" s="39">
        <v>167.999</v>
      </c>
      <c r="Y14" s="39">
        <v>160</v>
      </c>
      <c r="Z14" s="42"/>
      <c r="AA14" s="43"/>
      <c r="AB14" s="39">
        <v>1508</v>
      </c>
      <c r="AC14" s="39">
        <v>1299</v>
      </c>
      <c r="AD14" s="39">
        <v>1198</v>
      </c>
      <c r="AE14" s="42"/>
      <c r="AF14" s="44" t="s">
        <v>42</v>
      </c>
      <c r="AG14" s="45">
        <v>4300</v>
      </c>
    </row>
    <row r="15" spans="2:35" ht="24" x14ac:dyDescent="0.25">
      <c r="C15" s="46" t="s">
        <v>43</v>
      </c>
      <c r="D15" s="48" t="s">
        <v>44</v>
      </c>
      <c r="E15" s="54" t="s">
        <v>45</v>
      </c>
      <c r="F15" s="49">
        <v>81.69</v>
      </c>
      <c r="G15" s="38">
        <v>1</v>
      </c>
      <c r="H15" s="39"/>
      <c r="I15" s="39"/>
      <c r="J15" s="39"/>
      <c r="K15" s="40"/>
      <c r="L15" s="41"/>
      <c r="M15" s="39"/>
      <c r="N15" s="39"/>
      <c r="O15" s="39"/>
      <c r="P15" s="42"/>
      <c r="Q15" s="43"/>
      <c r="R15" s="39"/>
      <c r="S15" s="39"/>
      <c r="T15" s="39"/>
      <c r="U15" s="40"/>
      <c r="V15" s="41"/>
      <c r="W15" s="39"/>
      <c r="X15" s="39"/>
      <c r="Y15" s="39"/>
      <c r="Z15" s="42"/>
      <c r="AA15" s="43"/>
      <c r="AB15" s="39"/>
      <c r="AC15" s="39"/>
      <c r="AD15" s="39"/>
      <c r="AE15" s="42"/>
      <c r="AF15" s="44"/>
      <c r="AG15" s="45"/>
    </row>
    <row r="16" spans="2:35" x14ac:dyDescent="0.25">
      <c r="C16" s="46" t="s">
        <v>46</v>
      </c>
      <c r="D16" s="48" t="s">
        <v>47</v>
      </c>
      <c r="E16" s="48" t="s">
        <v>48</v>
      </c>
      <c r="F16" s="49">
        <v>71.831999999999994</v>
      </c>
      <c r="G16" s="38">
        <v>1</v>
      </c>
      <c r="H16" s="39"/>
      <c r="I16" s="39">
        <v>43.35</v>
      </c>
      <c r="J16" s="39">
        <v>71.831999999999994</v>
      </c>
      <c r="K16" s="40"/>
      <c r="L16" s="41"/>
      <c r="M16" s="39"/>
      <c r="N16" s="39"/>
      <c r="O16" s="39"/>
      <c r="P16" s="42"/>
      <c r="Q16" s="43"/>
      <c r="R16" s="39"/>
      <c r="S16" s="39"/>
      <c r="T16" s="39"/>
      <c r="U16" s="40"/>
      <c r="V16" s="41"/>
      <c r="W16" s="39"/>
      <c r="X16" s="39"/>
      <c r="Y16" s="39"/>
      <c r="Z16" s="42"/>
      <c r="AA16" s="43"/>
      <c r="AB16" s="39">
        <v>148.999</v>
      </c>
      <c r="AC16" s="39">
        <v>129.999</v>
      </c>
      <c r="AD16" s="39">
        <v>123.999</v>
      </c>
      <c r="AE16" s="42"/>
      <c r="AF16" s="44">
        <v>69</v>
      </c>
      <c r="AG16" s="45">
        <v>236</v>
      </c>
    </row>
    <row r="17" spans="2:33" x14ac:dyDescent="0.25">
      <c r="C17" s="46" t="s">
        <v>49</v>
      </c>
      <c r="D17" s="48" t="s">
        <v>50</v>
      </c>
      <c r="E17" s="48" t="s">
        <v>51</v>
      </c>
      <c r="F17" s="49">
        <v>64.512</v>
      </c>
      <c r="G17" s="38">
        <v>1</v>
      </c>
      <c r="H17" s="39">
        <v>67.841999999999999</v>
      </c>
      <c r="I17" s="39">
        <v>67.622</v>
      </c>
      <c r="J17" s="39">
        <v>56.801000000000002</v>
      </c>
      <c r="K17" s="40"/>
      <c r="L17" s="41"/>
      <c r="M17" s="39">
        <v>28.26</v>
      </c>
      <c r="N17" s="39">
        <v>27.113</v>
      </c>
      <c r="O17" s="39">
        <v>17.777999999999999</v>
      </c>
      <c r="P17" s="42"/>
      <c r="Q17" s="43"/>
      <c r="R17" s="39">
        <v>1108.2629999999999</v>
      </c>
      <c r="S17" s="39">
        <v>1075.492</v>
      </c>
      <c r="T17" s="39">
        <v>1016.131</v>
      </c>
      <c r="U17" s="40"/>
      <c r="V17" s="41"/>
      <c r="W17" s="39">
        <v>39.5</v>
      </c>
      <c r="X17" s="39">
        <v>42.5</v>
      </c>
      <c r="Y17" s="39">
        <v>45.198999999999998</v>
      </c>
      <c r="Z17" s="42"/>
      <c r="AA17" s="43"/>
      <c r="AB17" s="39">
        <v>2165.998</v>
      </c>
      <c r="AC17" s="39">
        <v>2277.9989999999998</v>
      </c>
      <c r="AD17" s="39">
        <v>2063.0010000000002</v>
      </c>
      <c r="AE17" s="42"/>
      <c r="AF17" s="44">
        <v>80</v>
      </c>
      <c r="AG17" s="45">
        <f>1630+100</f>
        <v>1730</v>
      </c>
    </row>
    <row r="18" spans="2:33" x14ac:dyDescent="0.25">
      <c r="C18" s="46" t="s">
        <v>52</v>
      </c>
      <c r="D18" s="55" t="s">
        <v>53</v>
      </c>
      <c r="E18" s="48" t="s">
        <v>54</v>
      </c>
      <c r="F18" s="49">
        <v>62</v>
      </c>
      <c r="G18" s="38">
        <v>1</v>
      </c>
      <c r="H18" s="39">
        <f>53.897</f>
        <v>53.896999999999998</v>
      </c>
      <c r="I18" s="39"/>
      <c r="J18" s="39"/>
      <c r="K18" s="40"/>
      <c r="L18" s="41"/>
      <c r="M18" s="39">
        <v>0.96499999999999997</v>
      </c>
      <c r="N18" s="39">
        <v>0.83599999999999997</v>
      </c>
      <c r="O18" s="39"/>
      <c r="P18" s="42"/>
      <c r="Q18" s="43"/>
      <c r="R18" s="39">
        <v>420.36700000000002</v>
      </c>
      <c r="S18" s="39">
        <v>435.85599999999999</v>
      </c>
      <c r="T18" s="39"/>
      <c r="U18" s="40"/>
      <c r="V18" s="41"/>
      <c r="W18" s="39">
        <v>82.16</v>
      </c>
      <c r="X18" s="39">
        <v>54.319000000000003</v>
      </c>
      <c r="Y18" s="39"/>
      <c r="Z18" s="42"/>
      <c r="AA18" s="43"/>
      <c r="AB18" s="39">
        <v>1108</v>
      </c>
      <c r="AC18" s="39">
        <v>1139</v>
      </c>
      <c r="AD18" s="39"/>
      <c r="AE18" s="42"/>
      <c r="AF18" s="44">
        <f>68+220</f>
        <v>288</v>
      </c>
      <c r="AG18" s="45">
        <v>730</v>
      </c>
    </row>
    <row r="19" spans="2:33" ht="13.95" customHeight="1" x14ac:dyDescent="0.25">
      <c r="C19" s="50" t="s">
        <v>55</v>
      </c>
      <c r="D19" s="51" t="s">
        <v>56</v>
      </c>
      <c r="E19" s="51" t="s">
        <v>57</v>
      </c>
      <c r="F19" s="56">
        <v>59.7</v>
      </c>
      <c r="G19" s="38">
        <v>1</v>
      </c>
      <c r="H19" s="39">
        <v>61.186</v>
      </c>
      <c r="I19" s="39"/>
      <c r="J19" s="39"/>
      <c r="K19" s="40"/>
      <c r="L19" s="41"/>
      <c r="M19" s="39"/>
      <c r="N19" s="39"/>
      <c r="O19" s="39"/>
      <c r="P19" s="42"/>
      <c r="Q19" s="43"/>
      <c r="R19" s="39">
        <v>424.99700000000001</v>
      </c>
      <c r="S19" s="39"/>
      <c r="T19" s="39"/>
      <c r="U19" s="40"/>
      <c r="V19" s="41"/>
      <c r="W19" s="39"/>
      <c r="X19" s="39"/>
      <c r="Y19" s="39"/>
      <c r="Z19" s="42"/>
      <c r="AA19" s="43"/>
      <c r="AB19" s="39"/>
      <c r="AC19" s="39"/>
      <c r="AD19" s="39"/>
      <c r="AE19" s="42"/>
      <c r="AF19" s="44">
        <v>80</v>
      </c>
      <c r="AG19" s="45">
        <v>145</v>
      </c>
    </row>
    <row r="20" spans="2:33" ht="24" x14ac:dyDescent="0.25">
      <c r="C20" s="46" t="s">
        <v>58</v>
      </c>
      <c r="D20" s="48" t="s">
        <v>59</v>
      </c>
      <c r="E20" s="48" t="s">
        <v>60</v>
      </c>
      <c r="F20" s="49">
        <f>25.071+21.651277</f>
        <v>46.722277000000005</v>
      </c>
      <c r="G20" s="38">
        <v>2</v>
      </c>
      <c r="H20" s="39">
        <f>25.071+16.132</f>
        <v>41.203000000000003</v>
      </c>
      <c r="I20" s="39">
        <f>18.645+15.378</f>
        <v>34.022999999999996</v>
      </c>
      <c r="J20" s="39"/>
      <c r="K20" s="40"/>
      <c r="L20" s="41"/>
      <c r="M20" s="39"/>
      <c r="N20" s="39"/>
      <c r="O20" s="39"/>
      <c r="P20" s="42"/>
      <c r="Q20" s="43"/>
      <c r="R20" s="39"/>
      <c r="S20" s="39"/>
      <c r="T20" s="39"/>
      <c r="U20" s="40"/>
      <c r="V20" s="41"/>
      <c r="W20" s="39"/>
      <c r="X20" s="39"/>
      <c r="Y20" s="39"/>
      <c r="Z20" s="42"/>
      <c r="AA20" s="43"/>
      <c r="AB20" s="39"/>
      <c r="AC20" s="39"/>
      <c r="AD20" s="39"/>
      <c r="AE20" s="42"/>
      <c r="AF20" s="44">
        <v>70</v>
      </c>
      <c r="AG20" s="45">
        <v>420</v>
      </c>
    </row>
    <row r="21" spans="2:33" x14ac:dyDescent="0.25">
      <c r="C21" s="46" t="s">
        <v>61</v>
      </c>
      <c r="D21" s="48" t="s">
        <v>62</v>
      </c>
      <c r="E21" s="48" t="s">
        <v>63</v>
      </c>
      <c r="F21" s="49">
        <v>43.512844999999999</v>
      </c>
      <c r="G21" s="38">
        <v>1</v>
      </c>
      <c r="H21" s="39"/>
      <c r="I21" s="39"/>
      <c r="J21" s="39"/>
      <c r="K21" s="40"/>
      <c r="L21" s="41"/>
      <c r="M21" s="39"/>
      <c r="N21" s="39"/>
      <c r="O21" s="39"/>
      <c r="P21" s="42"/>
      <c r="Q21" s="43"/>
      <c r="R21" s="39"/>
      <c r="S21" s="39"/>
      <c r="T21" s="39"/>
      <c r="U21" s="40"/>
      <c r="V21" s="41"/>
      <c r="W21" s="39"/>
      <c r="X21" s="39"/>
      <c r="Y21" s="39"/>
      <c r="Z21" s="42"/>
      <c r="AA21" s="43"/>
      <c r="AB21" s="39"/>
      <c r="AC21" s="39"/>
      <c r="AD21" s="39"/>
      <c r="AE21" s="42"/>
      <c r="AF21" s="44"/>
      <c r="AG21" s="45">
        <v>725</v>
      </c>
    </row>
    <row r="22" spans="2:33" ht="24" x14ac:dyDescent="0.25">
      <c r="C22" s="46" t="s">
        <v>64</v>
      </c>
      <c r="D22" s="48" t="s">
        <v>65</v>
      </c>
      <c r="E22" s="48" t="s">
        <v>66</v>
      </c>
      <c r="F22" s="49">
        <f>15.04117+24.7</f>
        <v>39.741169999999997</v>
      </c>
      <c r="G22" s="38">
        <v>2</v>
      </c>
      <c r="H22" s="39"/>
      <c r="I22" s="39"/>
      <c r="J22" s="39"/>
      <c r="K22" s="40"/>
      <c r="L22" s="41"/>
      <c r="M22" s="39"/>
      <c r="N22" s="39"/>
      <c r="O22" s="39"/>
      <c r="P22" s="42"/>
      <c r="Q22" s="43"/>
      <c r="R22" s="39"/>
      <c r="S22" s="39"/>
      <c r="T22" s="39"/>
      <c r="U22" s="40"/>
      <c r="V22" s="41"/>
      <c r="W22" s="39"/>
      <c r="X22" s="39"/>
      <c r="Y22" s="39"/>
      <c r="Z22" s="42"/>
      <c r="AA22" s="43"/>
      <c r="AB22" s="39"/>
      <c r="AC22" s="39"/>
      <c r="AD22" s="39"/>
      <c r="AE22" s="42"/>
      <c r="AF22" s="44">
        <v>320</v>
      </c>
      <c r="AG22" s="45">
        <v>1400</v>
      </c>
    </row>
    <row r="23" spans="2:33" x14ac:dyDescent="0.25">
      <c r="C23" s="46" t="s">
        <v>67</v>
      </c>
      <c r="D23" s="48" t="s">
        <v>68</v>
      </c>
      <c r="E23" s="48" t="s">
        <v>69</v>
      </c>
      <c r="F23" s="49">
        <v>39.700000000000003</v>
      </c>
      <c r="G23" s="38">
        <v>1</v>
      </c>
      <c r="H23" s="39"/>
      <c r="I23" s="39"/>
      <c r="J23" s="39"/>
      <c r="K23" s="40"/>
      <c r="L23" s="41"/>
      <c r="M23" s="39"/>
      <c r="N23" s="39"/>
      <c r="O23" s="39"/>
      <c r="P23" s="42"/>
      <c r="Q23" s="43"/>
      <c r="R23" s="39"/>
      <c r="S23" s="39"/>
      <c r="T23" s="39"/>
      <c r="U23" s="40"/>
      <c r="V23" s="41"/>
      <c r="W23" s="39"/>
      <c r="X23" s="39"/>
      <c r="Y23" s="39"/>
      <c r="Z23" s="42"/>
      <c r="AA23" s="43"/>
      <c r="AB23" s="39"/>
      <c r="AC23" s="39"/>
      <c r="AD23" s="39"/>
      <c r="AE23" s="42"/>
      <c r="AF23" s="44">
        <v>55</v>
      </c>
      <c r="AG23" s="45">
        <v>400</v>
      </c>
    </row>
    <row r="24" spans="2:33" ht="24" x14ac:dyDescent="0.25">
      <c r="C24" s="46" t="s">
        <v>70</v>
      </c>
      <c r="D24" s="48" t="s">
        <v>47</v>
      </c>
      <c r="E24" s="48" t="s">
        <v>71</v>
      </c>
      <c r="F24" s="49">
        <f>39.113+0.131503</f>
        <v>39.244503000000002</v>
      </c>
      <c r="G24" s="38">
        <v>2</v>
      </c>
      <c r="H24" s="39"/>
      <c r="I24" s="39"/>
      <c r="J24" s="39">
        <f>39.279+0.074</f>
        <v>39.353000000000002</v>
      </c>
      <c r="K24" s="40"/>
      <c r="L24" s="41"/>
      <c r="M24" s="39"/>
      <c r="N24" s="39"/>
      <c r="O24" s="39"/>
      <c r="P24" s="42"/>
      <c r="Q24" s="43"/>
      <c r="R24" s="39"/>
      <c r="S24" s="39"/>
      <c r="T24" s="39"/>
      <c r="U24" s="40"/>
      <c r="V24" s="41"/>
      <c r="W24" s="39"/>
      <c r="X24" s="39"/>
      <c r="Y24" s="39"/>
      <c r="Z24" s="42"/>
      <c r="AA24" s="43"/>
      <c r="AB24" s="39"/>
      <c r="AC24" s="39"/>
      <c r="AD24" s="39"/>
      <c r="AE24" s="42"/>
      <c r="AF24" s="44">
        <v>0</v>
      </c>
      <c r="AG24" s="45">
        <v>0</v>
      </c>
    </row>
    <row r="25" spans="2:33" x14ac:dyDescent="0.25">
      <c r="C25" s="46" t="s">
        <v>72</v>
      </c>
      <c r="D25" s="48" t="s">
        <v>68</v>
      </c>
      <c r="E25" s="48" t="s">
        <v>73</v>
      </c>
      <c r="F25" s="49">
        <v>38.084000000000003</v>
      </c>
      <c r="G25" s="38">
        <v>1</v>
      </c>
      <c r="H25" s="39">
        <v>37.540999999999997</v>
      </c>
      <c r="I25" s="39">
        <v>33.945</v>
      </c>
      <c r="J25" s="39">
        <v>33.83</v>
      </c>
      <c r="K25" s="40"/>
      <c r="L25" s="41"/>
      <c r="M25" s="39">
        <v>61.622999999999998</v>
      </c>
      <c r="N25" s="39">
        <v>41.073</v>
      </c>
      <c r="O25" s="39">
        <v>26.713000000000001</v>
      </c>
      <c r="P25" s="42"/>
      <c r="Q25" s="43"/>
      <c r="R25" s="39">
        <v>1498.991</v>
      </c>
      <c r="S25" s="39">
        <v>1563.989</v>
      </c>
      <c r="T25" s="39">
        <v>1502.9870000000001</v>
      </c>
      <c r="U25" s="40"/>
      <c r="V25" s="41"/>
      <c r="W25" s="39"/>
      <c r="X25" s="39"/>
      <c r="Y25" s="39"/>
      <c r="Z25" s="42"/>
      <c r="AA25" s="43"/>
      <c r="AB25" s="39">
        <v>2366.0010000000002</v>
      </c>
      <c r="AC25" s="39">
        <v>2241.0010000000002</v>
      </c>
      <c r="AD25" s="39">
        <v>2180</v>
      </c>
      <c r="AE25" s="42"/>
      <c r="AF25" s="44">
        <f>37+68</f>
        <v>105</v>
      </c>
      <c r="AG25" s="45">
        <f>660-40</f>
        <v>620</v>
      </c>
    </row>
    <row r="26" spans="2:33" x14ac:dyDescent="0.25">
      <c r="C26" s="46" t="s">
        <v>74</v>
      </c>
      <c r="D26" s="48" t="s">
        <v>68</v>
      </c>
      <c r="E26" s="48" t="s">
        <v>75</v>
      </c>
      <c r="F26" s="49">
        <v>31.235267</v>
      </c>
      <c r="G26" s="38">
        <v>1</v>
      </c>
      <c r="H26" s="39">
        <v>34.634999999999998</v>
      </c>
      <c r="I26" s="39">
        <v>33.445</v>
      </c>
      <c r="J26" s="39">
        <v>27.03</v>
      </c>
      <c r="K26" s="40"/>
      <c r="L26" s="41"/>
      <c r="M26" s="39">
        <v>4.7</v>
      </c>
      <c r="N26" s="39">
        <v>5.1989999999999998</v>
      </c>
      <c r="O26" s="39">
        <v>9.0559999999999992</v>
      </c>
      <c r="P26" s="42"/>
      <c r="Q26" s="43"/>
      <c r="R26" s="39"/>
      <c r="S26" s="39"/>
      <c r="T26" s="39"/>
      <c r="U26" s="40"/>
      <c r="V26" s="41"/>
      <c r="W26" s="39"/>
      <c r="X26" s="39"/>
      <c r="Y26" s="39"/>
      <c r="Z26" s="42"/>
      <c r="AA26" s="43"/>
      <c r="AB26" s="39">
        <f>320+323</f>
        <v>643</v>
      </c>
      <c r="AC26" s="39">
        <f>244.999+354.999</f>
        <v>599.99800000000005</v>
      </c>
      <c r="AD26" s="39">
        <f>201.999+397</f>
        <v>598.99900000000002</v>
      </c>
      <c r="AE26" s="42"/>
      <c r="AF26" s="44">
        <v>95</v>
      </c>
      <c r="AG26" s="45">
        <f>1500-221</f>
        <v>1279</v>
      </c>
    </row>
    <row r="27" spans="2:33" ht="24" x14ac:dyDescent="0.25">
      <c r="C27" s="46" t="s">
        <v>76</v>
      </c>
      <c r="D27" s="48" t="s">
        <v>65</v>
      </c>
      <c r="E27" s="48" t="s">
        <v>77</v>
      </c>
      <c r="F27" s="49">
        <f>10.932882+12.971872</f>
        <v>23.904753999999997</v>
      </c>
      <c r="G27" s="38">
        <v>2</v>
      </c>
      <c r="H27" s="39"/>
      <c r="I27" s="39"/>
      <c r="J27" s="39"/>
      <c r="K27" s="40"/>
      <c r="L27" s="41"/>
      <c r="M27" s="39"/>
      <c r="N27" s="39"/>
      <c r="O27" s="39"/>
      <c r="P27" s="42"/>
      <c r="Q27" s="43"/>
      <c r="R27" s="39"/>
      <c r="S27" s="39"/>
      <c r="T27" s="39"/>
      <c r="U27" s="40"/>
      <c r="V27" s="41"/>
      <c r="W27" s="39"/>
      <c r="X27" s="39"/>
      <c r="Y27" s="39"/>
      <c r="Z27" s="42"/>
      <c r="AA27" s="43"/>
      <c r="AB27" s="39"/>
      <c r="AC27" s="39"/>
      <c r="AD27" s="39"/>
      <c r="AE27" s="42"/>
      <c r="AF27" s="44">
        <v>0</v>
      </c>
      <c r="AG27" s="45">
        <v>250</v>
      </c>
    </row>
    <row r="28" spans="2:33" x14ac:dyDescent="0.25">
      <c r="B28" s="57"/>
      <c r="C28" s="46" t="s">
        <v>78</v>
      </c>
      <c r="D28" s="48" t="s">
        <v>79</v>
      </c>
      <c r="E28" s="48" t="s">
        <v>80</v>
      </c>
      <c r="F28" s="49">
        <v>23.385999999999999</v>
      </c>
      <c r="G28" s="38">
        <v>1</v>
      </c>
      <c r="H28" s="39"/>
      <c r="I28" s="39"/>
      <c r="J28" s="39"/>
      <c r="K28" s="40"/>
      <c r="L28" s="41"/>
      <c r="M28" s="39"/>
      <c r="N28" s="39"/>
      <c r="O28" s="39"/>
      <c r="P28" s="42"/>
      <c r="Q28" s="43"/>
      <c r="R28" s="39"/>
      <c r="S28" s="39"/>
      <c r="T28" s="39"/>
      <c r="U28" s="40"/>
      <c r="V28" s="41"/>
      <c r="W28" s="39"/>
      <c r="X28" s="39"/>
      <c r="Y28" s="39"/>
      <c r="Z28" s="42"/>
      <c r="AA28" s="43">
        <v>2</v>
      </c>
      <c r="AB28" s="39">
        <f>276.882+207.397</f>
        <v>484.279</v>
      </c>
      <c r="AC28" s="39"/>
      <c r="AD28" s="39"/>
      <c r="AE28" s="42"/>
      <c r="AF28" s="44">
        <f>200+170+50</f>
        <v>420</v>
      </c>
      <c r="AG28" s="45">
        <v>1260</v>
      </c>
    </row>
    <row r="29" spans="2:33" x14ac:dyDescent="0.25">
      <c r="C29" s="46" t="s">
        <v>81</v>
      </c>
      <c r="D29" s="48" t="s">
        <v>82</v>
      </c>
      <c r="E29" s="48" t="s">
        <v>83</v>
      </c>
      <c r="F29" s="49">
        <v>22.292010000000001</v>
      </c>
      <c r="G29" s="38">
        <v>1</v>
      </c>
      <c r="H29" s="39">
        <v>23.678999999999998</v>
      </c>
      <c r="I29" s="39"/>
      <c r="J29" s="39"/>
      <c r="K29" s="40"/>
      <c r="L29" s="41"/>
      <c r="M29" s="39">
        <v>145.31200000000001</v>
      </c>
      <c r="N29" s="39"/>
      <c r="O29" s="39"/>
      <c r="P29" s="42"/>
      <c r="Q29" s="43"/>
      <c r="R29" s="39"/>
      <c r="S29" s="39"/>
      <c r="T29" s="39"/>
      <c r="U29" s="40"/>
      <c r="V29" s="41"/>
      <c r="W29" s="39"/>
      <c r="X29" s="39"/>
      <c r="Y29" s="39"/>
      <c r="Z29" s="42"/>
      <c r="AA29" s="43"/>
      <c r="AB29" s="39">
        <v>509</v>
      </c>
      <c r="AC29" s="39"/>
      <c r="AD29" s="39"/>
      <c r="AE29" s="42"/>
      <c r="AF29" s="44">
        <v>290</v>
      </c>
      <c r="AG29" s="45">
        <v>790</v>
      </c>
    </row>
    <row r="30" spans="2:33" x14ac:dyDescent="0.25">
      <c r="C30" s="46" t="s">
        <v>84</v>
      </c>
      <c r="D30" s="48" t="s">
        <v>85</v>
      </c>
      <c r="E30" s="48" t="s">
        <v>86</v>
      </c>
      <c r="F30" s="49">
        <v>20.365867999999999</v>
      </c>
      <c r="G30" s="38">
        <v>1</v>
      </c>
      <c r="H30" s="39">
        <v>20.007000000000001</v>
      </c>
      <c r="I30" s="39"/>
      <c r="J30" s="39"/>
      <c r="K30" s="40"/>
      <c r="L30" s="41"/>
      <c r="M30" s="39"/>
      <c r="N30" s="39"/>
      <c r="O30" s="39"/>
      <c r="P30" s="42"/>
      <c r="Q30" s="43"/>
      <c r="R30" s="39">
        <v>260.99799999999999</v>
      </c>
      <c r="S30" s="39"/>
      <c r="T30" s="39"/>
      <c r="U30" s="40"/>
      <c r="V30" s="41"/>
      <c r="W30" s="39">
        <v>69</v>
      </c>
      <c r="X30" s="39"/>
      <c r="Y30" s="39"/>
      <c r="Z30" s="42"/>
      <c r="AA30" s="43"/>
      <c r="AB30" s="39">
        <v>964.00099999999998</v>
      </c>
      <c r="AC30" s="39"/>
      <c r="AD30" s="39"/>
      <c r="AE30" s="42"/>
      <c r="AF30" s="44">
        <v>460</v>
      </c>
      <c r="AG30" s="45">
        <v>480</v>
      </c>
    </row>
    <row r="31" spans="2:33" ht="24" x14ac:dyDescent="0.25">
      <c r="C31" s="46" t="s">
        <v>87</v>
      </c>
      <c r="D31" s="48" t="s">
        <v>47</v>
      </c>
      <c r="E31" s="48" t="s">
        <v>88</v>
      </c>
      <c r="F31" s="49">
        <f>0.453736+15.709138</f>
        <v>16.162873999999999</v>
      </c>
      <c r="G31" s="38">
        <v>2</v>
      </c>
      <c r="H31" s="39">
        <f>0.606+21.967</f>
        <v>22.573</v>
      </c>
      <c r="I31" s="39">
        <f>0.514+20.414</f>
        <v>20.928000000000001</v>
      </c>
      <c r="J31" s="39">
        <f>0.802+22.061</f>
        <v>22.863</v>
      </c>
      <c r="K31" s="40"/>
      <c r="L31" s="41"/>
      <c r="M31" s="39"/>
      <c r="N31" s="39"/>
      <c r="O31" s="39"/>
      <c r="P31" s="42"/>
      <c r="Q31" s="43"/>
      <c r="R31" s="39">
        <v>174.99799999999999</v>
      </c>
      <c r="S31" s="39">
        <v>182.99799999999999</v>
      </c>
      <c r="T31" s="39">
        <v>212.99799999999999</v>
      </c>
      <c r="U31" s="40"/>
      <c r="V31" s="41"/>
      <c r="W31" s="39"/>
      <c r="X31" s="39"/>
      <c r="Y31" s="39"/>
      <c r="Z31" s="42"/>
      <c r="AA31" s="43"/>
      <c r="AB31" s="39">
        <v>427</v>
      </c>
      <c r="AC31" s="39">
        <v>425</v>
      </c>
      <c r="AD31" s="39">
        <v>414</v>
      </c>
      <c r="AE31" s="42"/>
      <c r="AF31" s="44">
        <f>210+120</f>
        <v>330</v>
      </c>
      <c r="AG31" s="45">
        <v>770</v>
      </c>
    </row>
    <row r="32" spans="2:33" x14ac:dyDescent="0.25">
      <c r="C32" s="46" t="s">
        <v>89</v>
      </c>
      <c r="D32" s="55" t="s">
        <v>53</v>
      </c>
      <c r="E32" s="48" t="s">
        <v>90</v>
      </c>
      <c r="F32" s="49">
        <v>15.718916</v>
      </c>
      <c r="G32" s="38">
        <v>1</v>
      </c>
      <c r="H32" s="39">
        <v>14.102</v>
      </c>
      <c r="I32" s="39"/>
      <c r="J32" s="39"/>
      <c r="K32" s="40"/>
      <c r="L32" s="41"/>
      <c r="M32" s="39">
        <v>222.72399999999999</v>
      </c>
      <c r="N32" s="39"/>
      <c r="O32" s="39"/>
      <c r="P32" s="42"/>
      <c r="Q32" s="43"/>
      <c r="R32" s="39"/>
      <c r="S32" s="39"/>
      <c r="T32" s="39"/>
      <c r="U32" s="40"/>
      <c r="V32" s="41"/>
      <c r="W32" s="39"/>
      <c r="X32" s="39"/>
      <c r="Y32" s="39"/>
      <c r="Z32" s="42"/>
      <c r="AA32" s="43"/>
      <c r="AB32" s="39">
        <v>393</v>
      </c>
      <c r="AC32" s="39">
        <v>311</v>
      </c>
      <c r="AD32" s="39"/>
      <c r="AE32" s="42"/>
      <c r="AF32" s="44">
        <f>100+80+80</f>
        <v>260</v>
      </c>
      <c r="AG32" s="45">
        <v>806</v>
      </c>
    </row>
    <row r="33" spans="2:33" x14ac:dyDescent="0.25">
      <c r="C33" s="46" t="s">
        <v>91</v>
      </c>
      <c r="D33" s="48" t="s">
        <v>92</v>
      </c>
      <c r="E33" s="48" t="s">
        <v>93</v>
      </c>
      <c r="F33" s="49">
        <v>15.132228</v>
      </c>
      <c r="G33" s="38">
        <v>1</v>
      </c>
      <c r="H33" s="39"/>
      <c r="I33" s="39"/>
      <c r="J33" s="39"/>
      <c r="K33" s="40"/>
      <c r="L33" s="41"/>
      <c r="M33" s="39"/>
      <c r="N33" s="39"/>
      <c r="O33" s="39"/>
      <c r="P33" s="42"/>
      <c r="Q33" s="43"/>
      <c r="R33" s="39"/>
      <c r="S33" s="39"/>
      <c r="T33" s="39"/>
      <c r="U33" s="40"/>
      <c r="V33" s="41"/>
      <c r="W33" s="39"/>
      <c r="X33" s="39"/>
      <c r="Y33" s="39"/>
      <c r="Z33" s="42"/>
      <c r="AA33" s="43"/>
      <c r="AB33" s="39"/>
      <c r="AC33" s="39"/>
      <c r="AD33" s="39"/>
      <c r="AE33" s="42"/>
      <c r="AF33" s="44">
        <v>500</v>
      </c>
      <c r="AG33" s="45">
        <v>680</v>
      </c>
    </row>
    <row r="34" spans="2:33" x14ac:dyDescent="0.25">
      <c r="B34" s="1" t="s">
        <v>16</v>
      </c>
      <c r="C34" s="46" t="s">
        <v>94</v>
      </c>
      <c r="D34" s="48" t="s">
        <v>95</v>
      </c>
      <c r="E34" s="48" t="s">
        <v>96</v>
      </c>
      <c r="F34" s="49">
        <v>14.4</v>
      </c>
      <c r="G34" s="38">
        <v>1</v>
      </c>
      <c r="H34" s="39">
        <v>16.292000000000002</v>
      </c>
      <c r="I34" s="39"/>
      <c r="J34" s="39"/>
      <c r="K34" s="40"/>
      <c r="L34" s="41"/>
      <c r="M34" s="39"/>
      <c r="N34" s="39"/>
      <c r="O34" s="39"/>
      <c r="P34" s="42"/>
      <c r="Q34" s="43"/>
      <c r="R34" s="39"/>
      <c r="S34" s="39"/>
      <c r="T34" s="39"/>
      <c r="U34" s="40"/>
      <c r="V34" s="41"/>
      <c r="W34" s="39"/>
      <c r="X34" s="39"/>
      <c r="Y34" s="39"/>
      <c r="Z34" s="42"/>
      <c r="AA34" s="43"/>
      <c r="AB34" s="39">
        <v>1275</v>
      </c>
      <c r="AC34" s="39"/>
      <c r="AD34" s="39"/>
      <c r="AE34" s="42"/>
      <c r="AF34" s="44">
        <f>3*80+95</f>
        <v>335</v>
      </c>
      <c r="AG34" s="45">
        <v>1300</v>
      </c>
    </row>
    <row r="35" spans="2:33" ht="36" x14ac:dyDescent="0.25">
      <c r="C35" s="46" t="s">
        <v>97</v>
      </c>
      <c r="D35" s="55" t="s">
        <v>53</v>
      </c>
      <c r="E35" s="48" t="s">
        <v>98</v>
      </c>
      <c r="F35" s="49">
        <f>2.045991+10.371942+1.431993</f>
        <v>13.849926000000002</v>
      </c>
      <c r="G35" s="38">
        <v>3</v>
      </c>
      <c r="H35" s="39">
        <f>2.158+10.711+0.531</f>
        <v>13.4</v>
      </c>
      <c r="I35" s="39"/>
      <c r="J35" s="39"/>
      <c r="K35" s="40"/>
      <c r="L35" s="41"/>
      <c r="M35" s="39">
        <v>258.73599999999999</v>
      </c>
      <c r="N35" s="39"/>
      <c r="O35" s="39"/>
      <c r="P35" s="42"/>
      <c r="Q35" s="43"/>
      <c r="R35" s="39"/>
      <c r="S35" s="39"/>
      <c r="T35" s="39"/>
      <c r="U35" s="40"/>
      <c r="V35" s="41"/>
      <c r="W35" s="39"/>
      <c r="X35" s="39"/>
      <c r="Y35" s="39"/>
      <c r="Z35" s="42"/>
      <c r="AA35" s="43"/>
      <c r="AB35" s="39">
        <v>976.99900000000002</v>
      </c>
      <c r="AC35" s="39">
        <v>982.00099999999998</v>
      </c>
      <c r="AD35" s="39"/>
      <c r="AE35" s="42"/>
      <c r="AF35" s="44">
        <f>2*70+40+20</f>
        <v>200</v>
      </c>
      <c r="AG35" s="45">
        <v>870</v>
      </c>
    </row>
    <row r="36" spans="2:33" x14ac:dyDescent="0.25">
      <c r="C36" s="46" t="s">
        <v>99</v>
      </c>
      <c r="D36" s="48" t="s">
        <v>65</v>
      </c>
      <c r="E36" s="48" t="s">
        <v>100</v>
      </c>
      <c r="F36" s="49">
        <v>11.959061999999999</v>
      </c>
      <c r="G36" s="38">
        <v>6</v>
      </c>
      <c r="H36" s="39"/>
      <c r="I36" s="39"/>
      <c r="J36" s="39"/>
      <c r="K36" s="40"/>
      <c r="L36" s="41"/>
      <c r="M36" s="39"/>
      <c r="N36" s="39"/>
      <c r="O36" s="39"/>
      <c r="P36" s="42"/>
      <c r="Q36" s="43"/>
      <c r="R36" s="39"/>
      <c r="S36" s="39"/>
      <c r="T36" s="39"/>
      <c r="U36" s="40"/>
      <c r="V36" s="41"/>
      <c r="W36" s="39"/>
      <c r="X36" s="39"/>
      <c r="Y36" s="39"/>
      <c r="Z36" s="42"/>
      <c r="AA36" s="43"/>
      <c r="AB36" s="39"/>
      <c r="AC36" s="39"/>
      <c r="AD36" s="39"/>
      <c r="AE36" s="42"/>
      <c r="AF36" s="44">
        <v>110</v>
      </c>
      <c r="AG36" s="45">
        <v>270</v>
      </c>
    </row>
    <row r="37" spans="2:33" ht="84" x14ac:dyDescent="0.25">
      <c r="C37" s="46" t="s">
        <v>101</v>
      </c>
      <c r="D37" s="48" t="s">
        <v>102</v>
      </c>
      <c r="E37" s="48" t="s">
        <v>103</v>
      </c>
      <c r="F37" s="49">
        <f>3+0.026143+0.201676+1.769754+6.565318</f>
        <v>11.562891</v>
      </c>
      <c r="G37" s="38">
        <v>7</v>
      </c>
      <c r="H37" s="39">
        <f>2.577+0.128+1.072+7.398+18.642</f>
        <v>29.817</v>
      </c>
      <c r="I37" s="39"/>
      <c r="J37" s="39"/>
      <c r="K37" s="40"/>
      <c r="L37" s="41"/>
      <c r="M37" s="39"/>
      <c r="N37" s="39"/>
      <c r="O37" s="39"/>
      <c r="P37" s="42"/>
      <c r="Q37" s="43"/>
      <c r="R37" s="39">
        <v>1106.5930000000001</v>
      </c>
      <c r="S37" s="39"/>
      <c r="T37" s="39"/>
      <c r="U37" s="40"/>
      <c r="V37" s="41"/>
      <c r="W37" s="39">
        <v>343.22</v>
      </c>
      <c r="X37" s="39"/>
      <c r="Y37" s="39"/>
      <c r="Z37" s="42"/>
      <c r="AA37" s="43"/>
      <c r="AB37" s="39">
        <v>2511</v>
      </c>
      <c r="AC37" s="39"/>
      <c r="AD37" s="39"/>
      <c r="AE37" s="42"/>
      <c r="AF37" s="44">
        <f>400+370</f>
        <v>770</v>
      </c>
      <c r="AG37" s="45">
        <v>1350</v>
      </c>
    </row>
    <row r="38" spans="2:33" ht="24" x14ac:dyDescent="0.25">
      <c r="C38" s="46" t="s">
        <v>104</v>
      </c>
      <c r="D38" s="48" t="s">
        <v>105</v>
      </c>
      <c r="E38" s="48" t="s">
        <v>106</v>
      </c>
      <c r="F38" s="49">
        <f>5.048+6.337</f>
        <v>11.385</v>
      </c>
      <c r="G38" s="38">
        <v>2</v>
      </c>
      <c r="H38" s="39">
        <f>5.047+6.336</f>
        <v>11.382999999999999</v>
      </c>
      <c r="I38" s="39">
        <f>5.533+8.14</f>
        <v>13.673000000000002</v>
      </c>
      <c r="J38" s="39"/>
      <c r="K38" s="40"/>
      <c r="L38" s="41"/>
      <c r="M38" s="39"/>
      <c r="N38" s="39"/>
      <c r="O38" s="39"/>
      <c r="P38" s="42"/>
      <c r="Q38" s="43"/>
      <c r="R38" s="39"/>
      <c r="S38" s="39"/>
      <c r="T38" s="39"/>
      <c r="U38" s="40"/>
      <c r="V38" s="41"/>
      <c r="W38" s="39"/>
      <c r="X38" s="39"/>
      <c r="Y38" s="39"/>
      <c r="Z38" s="42"/>
      <c r="AA38" s="43"/>
      <c r="AB38" s="39">
        <v>800</v>
      </c>
      <c r="AC38" s="39">
        <v>654.00099999999998</v>
      </c>
      <c r="AD38" s="39"/>
      <c r="AE38" s="42"/>
      <c r="AF38" s="44">
        <v>70</v>
      </c>
      <c r="AG38" s="45">
        <v>500</v>
      </c>
    </row>
    <row r="39" spans="2:33" x14ac:dyDescent="0.25">
      <c r="C39" s="46" t="s">
        <v>107</v>
      </c>
      <c r="D39" s="48" t="s">
        <v>108</v>
      </c>
      <c r="E39" s="48" t="s">
        <v>109</v>
      </c>
      <c r="F39" s="49">
        <v>10.9</v>
      </c>
      <c r="G39" s="38">
        <v>1</v>
      </c>
      <c r="H39" s="39"/>
      <c r="I39" s="39"/>
      <c r="J39" s="39"/>
      <c r="K39" s="40"/>
      <c r="L39" s="41"/>
      <c r="M39" s="39"/>
      <c r="N39" s="39"/>
      <c r="O39" s="39"/>
      <c r="P39" s="42"/>
      <c r="Q39" s="43"/>
      <c r="R39" s="39"/>
      <c r="S39" s="39"/>
      <c r="T39" s="39"/>
      <c r="U39" s="40"/>
      <c r="V39" s="41"/>
      <c r="W39" s="39"/>
      <c r="X39" s="39"/>
      <c r="Y39" s="39"/>
      <c r="Z39" s="42"/>
      <c r="AA39" s="43"/>
      <c r="AB39" s="39"/>
      <c r="AC39" s="39"/>
      <c r="AD39" s="39"/>
      <c r="AE39" s="42"/>
      <c r="AF39" s="44">
        <v>75</v>
      </c>
      <c r="AG39" s="45">
        <v>150</v>
      </c>
    </row>
    <row r="40" spans="2:33" ht="24" x14ac:dyDescent="0.25">
      <c r="C40" s="46" t="s">
        <v>110</v>
      </c>
      <c r="D40" s="48" t="s">
        <v>111</v>
      </c>
      <c r="E40" s="48" t="s">
        <v>112</v>
      </c>
      <c r="F40" s="49">
        <f>9.379339+0.169</f>
        <v>9.5483390000000004</v>
      </c>
      <c r="G40" s="38">
        <v>2</v>
      </c>
      <c r="H40" s="39"/>
      <c r="I40" s="39"/>
      <c r="J40" s="39"/>
      <c r="K40" s="40"/>
      <c r="L40" s="41"/>
      <c r="M40" s="39"/>
      <c r="N40" s="39">
        <v>3.5339999999999998</v>
      </c>
      <c r="O40" s="39"/>
      <c r="P40" s="42"/>
      <c r="Q40" s="43"/>
      <c r="R40" s="39"/>
      <c r="S40" s="39"/>
      <c r="T40" s="39"/>
      <c r="U40" s="40"/>
      <c r="V40" s="41"/>
      <c r="W40" s="39"/>
      <c r="X40" s="39"/>
      <c r="Y40" s="39"/>
      <c r="Z40" s="42"/>
      <c r="AA40" s="43"/>
      <c r="AB40" s="39"/>
      <c r="AC40" s="39"/>
      <c r="AD40" s="39"/>
      <c r="AE40" s="42"/>
      <c r="AF40" s="44">
        <v>210</v>
      </c>
      <c r="AG40" s="45">
        <v>550</v>
      </c>
    </row>
    <row r="41" spans="2:33" x14ac:dyDescent="0.25">
      <c r="C41" s="46" t="s">
        <v>113</v>
      </c>
      <c r="D41" s="48" t="s">
        <v>108</v>
      </c>
      <c r="E41" s="54" t="s">
        <v>114</v>
      </c>
      <c r="F41" s="49">
        <v>8.6893950000000011</v>
      </c>
      <c r="G41" s="38">
        <v>1</v>
      </c>
      <c r="H41" s="39"/>
      <c r="I41" s="39"/>
      <c r="J41" s="39"/>
      <c r="K41" s="40"/>
      <c r="L41" s="41"/>
      <c r="M41" s="39"/>
      <c r="N41" s="39"/>
      <c r="O41" s="39"/>
      <c r="P41" s="42"/>
      <c r="Q41" s="43"/>
      <c r="R41" s="39"/>
      <c r="S41" s="39"/>
      <c r="T41" s="39"/>
      <c r="U41" s="40"/>
      <c r="V41" s="41"/>
      <c r="W41" s="39"/>
      <c r="X41" s="39"/>
      <c r="Y41" s="39"/>
      <c r="Z41" s="42"/>
      <c r="AA41" s="43"/>
      <c r="AB41" s="39"/>
      <c r="AC41" s="39"/>
      <c r="AD41" s="39"/>
      <c r="AE41" s="42"/>
      <c r="AF41" s="44"/>
      <c r="AG41" s="45"/>
    </row>
    <row r="42" spans="2:33" x14ac:dyDescent="0.25">
      <c r="C42" s="46" t="s">
        <v>115</v>
      </c>
      <c r="D42" s="48" t="s">
        <v>108</v>
      </c>
      <c r="E42" s="54" t="s">
        <v>116</v>
      </c>
      <c r="F42" s="49">
        <v>7.9601480000000002</v>
      </c>
      <c r="G42" s="38">
        <v>1</v>
      </c>
      <c r="H42" s="39"/>
      <c r="I42" s="39"/>
      <c r="J42" s="39"/>
      <c r="K42" s="40"/>
      <c r="L42" s="41"/>
      <c r="M42" s="39"/>
      <c r="N42" s="39"/>
      <c r="O42" s="39"/>
      <c r="P42" s="42"/>
      <c r="Q42" s="43"/>
      <c r="R42" s="39"/>
      <c r="S42" s="39"/>
      <c r="T42" s="39"/>
      <c r="U42" s="40"/>
      <c r="V42" s="41"/>
      <c r="W42" s="39"/>
      <c r="X42" s="39"/>
      <c r="Y42" s="39"/>
      <c r="Z42" s="42"/>
      <c r="AA42" s="43"/>
      <c r="AB42" s="39"/>
      <c r="AC42" s="39"/>
      <c r="AD42" s="39"/>
      <c r="AE42" s="42"/>
      <c r="AF42" s="44"/>
      <c r="AG42" s="45"/>
    </row>
    <row r="43" spans="2:33" x14ac:dyDescent="0.25">
      <c r="C43" s="46" t="s">
        <v>117</v>
      </c>
      <c r="D43" s="48" t="s">
        <v>68</v>
      </c>
      <c r="E43" s="48" t="s">
        <v>118</v>
      </c>
      <c r="F43" s="49">
        <v>7.35</v>
      </c>
      <c r="G43" s="38">
        <v>1</v>
      </c>
      <c r="H43" s="39"/>
      <c r="I43" s="39">
        <f>8.604</f>
        <v>8.6039999999999992</v>
      </c>
      <c r="J43" s="39">
        <v>8.2650000000000006</v>
      </c>
      <c r="K43" s="40">
        <v>7.35</v>
      </c>
      <c r="L43" s="41"/>
      <c r="M43" s="39"/>
      <c r="N43" s="39"/>
      <c r="O43" s="39"/>
      <c r="P43" s="42"/>
      <c r="Q43" s="43"/>
      <c r="R43" s="39">
        <v>169.99799999999999</v>
      </c>
      <c r="S43" s="39">
        <v>262.99799999999999</v>
      </c>
      <c r="T43" s="39">
        <v>367.99700000000001</v>
      </c>
      <c r="U43" s="40"/>
      <c r="V43" s="41"/>
      <c r="W43" s="39"/>
      <c r="X43" s="39"/>
      <c r="Y43" s="39"/>
      <c r="Z43" s="42"/>
      <c r="AA43" s="43"/>
      <c r="AB43" s="39">
        <v>541.99900000000002</v>
      </c>
      <c r="AC43" s="39">
        <v>734.01400000000001</v>
      </c>
      <c r="AD43" s="39">
        <v>386.99799999999999</v>
      </c>
      <c r="AE43" s="42"/>
      <c r="AF43" s="44">
        <v>60</v>
      </c>
      <c r="AG43" s="45">
        <v>250</v>
      </c>
    </row>
    <row r="44" spans="2:33" x14ac:dyDescent="0.25">
      <c r="C44" s="46" t="s">
        <v>119</v>
      </c>
      <c r="D44" s="48" t="s">
        <v>120</v>
      </c>
      <c r="E44" s="48" t="s">
        <v>121</v>
      </c>
      <c r="F44" s="49">
        <v>7.1051039999999999</v>
      </c>
      <c r="G44" s="38">
        <v>1</v>
      </c>
      <c r="H44" s="39"/>
      <c r="I44" s="39"/>
      <c r="J44" s="39"/>
      <c r="K44" s="40"/>
      <c r="L44" s="41"/>
      <c r="M44" s="39"/>
      <c r="N44" s="39"/>
      <c r="O44" s="39"/>
      <c r="P44" s="42"/>
      <c r="Q44" s="43"/>
      <c r="R44" s="39"/>
      <c r="S44" s="39"/>
      <c r="T44" s="39"/>
      <c r="U44" s="40"/>
      <c r="V44" s="41"/>
      <c r="W44" s="39"/>
      <c r="X44" s="39"/>
      <c r="Y44" s="39"/>
      <c r="Z44" s="42"/>
      <c r="AA44" s="43"/>
      <c r="AB44" s="39"/>
      <c r="AC44" s="39"/>
      <c r="AD44" s="39"/>
      <c r="AE44" s="42"/>
      <c r="AF44" s="44">
        <f>175+40</f>
        <v>215</v>
      </c>
      <c r="AG44" s="45">
        <v>550</v>
      </c>
    </row>
    <row r="45" spans="2:33" x14ac:dyDescent="0.25">
      <c r="C45" s="46" t="s">
        <v>122</v>
      </c>
      <c r="D45" s="48" t="s">
        <v>108</v>
      </c>
      <c r="E45" s="54" t="s">
        <v>123</v>
      </c>
      <c r="F45" s="49">
        <v>6.8583030000000003</v>
      </c>
      <c r="G45" s="38">
        <v>1</v>
      </c>
      <c r="H45" s="39"/>
      <c r="I45" s="39"/>
      <c r="J45" s="39"/>
      <c r="K45" s="40"/>
      <c r="L45" s="41"/>
      <c r="M45" s="39"/>
      <c r="N45" s="39"/>
      <c r="O45" s="39"/>
      <c r="P45" s="42"/>
      <c r="Q45" s="43"/>
      <c r="R45" s="39"/>
      <c r="S45" s="39"/>
      <c r="T45" s="39"/>
      <c r="U45" s="40"/>
      <c r="V45" s="41"/>
      <c r="W45" s="39"/>
      <c r="X45" s="39"/>
      <c r="Y45" s="39"/>
      <c r="Z45" s="42"/>
      <c r="AA45" s="43"/>
      <c r="AB45" s="39"/>
      <c r="AC45" s="39"/>
      <c r="AD45" s="39"/>
      <c r="AE45" s="42"/>
      <c r="AF45" s="44"/>
      <c r="AG45" s="45"/>
    </row>
    <row r="46" spans="2:33" x14ac:dyDescent="0.25">
      <c r="C46" s="46" t="s">
        <v>124</v>
      </c>
      <c r="D46" s="48" t="s">
        <v>108</v>
      </c>
      <c r="E46" s="48" t="s">
        <v>125</v>
      </c>
      <c r="F46" s="49">
        <v>6.5</v>
      </c>
      <c r="G46" s="38">
        <v>1</v>
      </c>
      <c r="H46" s="39"/>
      <c r="I46" s="39"/>
      <c r="J46" s="39"/>
      <c r="K46" s="40"/>
      <c r="L46" s="41"/>
      <c r="M46" s="39"/>
      <c r="N46" s="39"/>
      <c r="O46" s="39"/>
      <c r="P46" s="42"/>
      <c r="Q46" s="43"/>
      <c r="R46" s="39"/>
      <c r="S46" s="39"/>
      <c r="T46" s="39"/>
      <c r="U46" s="40"/>
      <c r="V46" s="41"/>
      <c r="W46" s="39"/>
      <c r="X46" s="39"/>
      <c r="Y46" s="39"/>
      <c r="Z46" s="42"/>
      <c r="AA46" s="43"/>
      <c r="AB46" s="39"/>
      <c r="AC46" s="39"/>
      <c r="AD46" s="39"/>
      <c r="AE46" s="42"/>
      <c r="AF46" s="44">
        <v>70</v>
      </c>
      <c r="AG46" s="45">
        <v>300</v>
      </c>
    </row>
    <row r="47" spans="2:33" x14ac:dyDescent="0.25">
      <c r="C47" s="46" t="s">
        <v>126</v>
      </c>
      <c r="D47" s="48" t="s">
        <v>108</v>
      </c>
      <c r="E47" s="54" t="s">
        <v>127</v>
      </c>
      <c r="F47" s="49">
        <v>6.3348380000000004</v>
      </c>
      <c r="G47" s="38">
        <v>1</v>
      </c>
      <c r="H47" s="39"/>
      <c r="I47" s="39"/>
      <c r="J47" s="39"/>
      <c r="K47" s="40"/>
      <c r="L47" s="41"/>
      <c r="M47" s="39"/>
      <c r="N47" s="39"/>
      <c r="O47" s="39"/>
      <c r="P47" s="42"/>
      <c r="Q47" s="43"/>
      <c r="R47" s="39"/>
      <c r="S47" s="39"/>
      <c r="T47" s="39"/>
      <c r="U47" s="40"/>
      <c r="V47" s="41"/>
      <c r="W47" s="39"/>
      <c r="X47" s="39"/>
      <c r="Y47" s="39"/>
      <c r="Z47" s="42"/>
      <c r="AA47" s="43"/>
      <c r="AB47" s="39"/>
      <c r="AC47" s="39"/>
      <c r="AD47" s="39"/>
      <c r="AE47" s="42"/>
      <c r="AF47" s="44"/>
      <c r="AG47" s="45"/>
    </row>
    <row r="48" spans="2:33" x14ac:dyDescent="0.25">
      <c r="C48" s="46" t="s">
        <v>128</v>
      </c>
      <c r="D48" s="48" t="s">
        <v>129</v>
      </c>
      <c r="E48" s="48" t="s">
        <v>130</v>
      </c>
      <c r="F48" s="49">
        <v>5.6273429999999998</v>
      </c>
      <c r="G48" s="38">
        <v>1</v>
      </c>
      <c r="H48" s="39">
        <v>5.726</v>
      </c>
      <c r="I48" s="39">
        <v>6.3849999999999998</v>
      </c>
      <c r="J48" s="39">
        <f>1.721+3.729</f>
        <v>5.45</v>
      </c>
      <c r="K48" s="40"/>
      <c r="L48" s="41"/>
      <c r="M48" s="39">
        <v>34.829000000000001</v>
      </c>
      <c r="N48" s="39"/>
      <c r="O48" s="39">
        <v>35.612000000000002</v>
      </c>
      <c r="P48" s="42"/>
      <c r="Q48" s="43"/>
      <c r="R48" s="39"/>
      <c r="S48" s="39"/>
      <c r="T48" s="39"/>
      <c r="U48" s="40"/>
      <c r="V48" s="41"/>
      <c r="W48" s="39"/>
      <c r="X48" s="39"/>
      <c r="Y48" s="39"/>
      <c r="Z48" s="42"/>
      <c r="AA48" s="43"/>
      <c r="AB48" s="39"/>
      <c r="AC48" s="39"/>
      <c r="AD48" s="39"/>
      <c r="AE48" s="42"/>
      <c r="AF48" s="44">
        <v>80</v>
      </c>
      <c r="AG48" s="45">
        <v>300</v>
      </c>
    </row>
    <row r="49" spans="3:33" x14ac:dyDescent="0.25">
      <c r="C49" s="46" t="s">
        <v>131</v>
      </c>
      <c r="D49" s="48" t="s">
        <v>132</v>
      </c>
      <c r="E49" s="48" t="s">
        <v>133</v>
      </c>
      <c r="F49" s="49">
        <v>5.34</v>
      </c>
      <c r="G49" s="38">
        <v>1</v>
      </c>
      <c r="H49" s="39"/>
      <c r="I49" s="39"/>
      <c r="J49" s="39"/>
      <c r="K49" s="40"/>
      <c r="L49" s="41"/>
      <c r="M49" s="39"/>
      <c r="N49" s="39"/>
      <c r="O49" s="39"/>
      <c r="P49" s="42"/>
      <c r="Q49" s="43"/>
      <c r="R49" s="39"/>
      <c r="S49" s="39"/>
      <c r="T49" s="39"/>
      <c r="U49" s="40"/>
      <c r="V49" s="41"/>
      <c r="W49" s="39"/>
      <c r="X49" s="39"/>
      <c r="Y49" s="39"/>
      <c r="Z49" s="42"/>
      <c r="AA49" s="43"/>
      <c r="AB49" s="39"/>
      <c r="AC49" s="39"/>
      <c r="AD49" s="39"/>
      <c r="AE49" s="42"/>
      <c r="AF49" s="44">
        <v>200</v>
      </c>
      <c r="AG49" s="45">
        <v>500</v>
      </c>
    </row>
    <row r="50" spans="3:33" x14ac:dyDescent="0.25">
      <c r="C50" s="46" t="s">
        <v>134</v>
      </c>
      <c r="D50" s="48" t="s">
        <v>108</v>
      </c>
      <c r="E50" s="48" t="s">
        <v>135</v>
      </c>
      <c r="F50" s="49">
        <v>5.2595369999999999</v>
      </c>
      <c r="G50" s="38">
        <v>1</v>
      </c>
      <c r="H50" s="39"/>
      <c r="I50" s="39"/>
      <c r="J50" s="39"/>
      <c r="K50" s="40"/>
      <c r="L50" s="41"/>
      <c r="M50" s="39"/>
      <c r="N50" s="39"/>
      <c r="O50" s="39"/>
      <c r="P50" s="42"/>
      <c r="Q50" s="43"/>
      <c r="R50" s="39"/>
      <c r="S50" s="39"/>
      <c r="T50" s="39"/>
      <c r="U50" s="40"/>
      <c r="V50" s="41"/>
      <c r="W50" s="39"/>
      <c r="X50" s="39"/>
      <c r="Y50" s="39"/>
      <c r="Z50" s="42"/>
      <c r="AA50" s="43"/>
      <c r="AB50" s="39"/>
      <c r="AC50" s="39"/>
      <c r="AD50" s="39"/>
      <c r="AE50" s="42"/>
      <c r="AF50" s="44">
        <f>100+60</f>
        <v>160</v>
      </c>
      <c r="AG50" s="45">
        <v>500</v>
      </c>
    </row>
    <row r="51" spans="3:33" x14ac:dyDescent="0.25">
      <c r="C51" s="46" t="s">
        <v>136</v>
      </c>
      <c r="D51" s="48" t="s">
        <v>82</v>
      </c>
      <c r="E51" s="48" t="s">
        <v>137</v>
      </c>
      <c r="F51" s="49">
        <v>4.3409969999999998</v>
      </c>
      <c r="G51" s="38">
        <v>1</v>
      </c>
      <c r="H51" s="39">
        <v>4.5359999999999996</v>
      </c>
      <c r="I51" s="39"/>
      <c r="J51" s="39"/>
      <c r="K51" s="40"/>
      <c r="L51" s="41"/>
      <c r="M51" s="39"/>
      <c r="N51" s="39"/>
      <c r="O51" s="39"/>
      <c r="P51" s="42"/>
      <c r="Q51" s="43"/>
      <c r="R51" s="39"/>
      <c r="S51" s="39"/>
      <c r="T51" s="39"/>
      <c r="U51" s="40"/>
      <c r="V51" s="41"/>
      <c r="W51" s="39"/>
      <c r="X51" s="39"/>
      <c r="Y51" s="39"/>
      <c r="Z51" s="42"/>
      <c r="AA51" s="43"/>
      <c r="AB51" s="39">
        <v>217</v>
      </c>
      <c r="AC51" s="39"/>
      <c r="AD51" s="39"/>
      <c r="AE51" s="42"/>
      <c r="AF51" s="44">
        <v>60</v>
      </c>
      <c r="AG51" s="45">
        <v>280</v>
      </c>
    </row>
    <row r="52" spans="3:33" x14ac:dyDescent="0.25">
      <c r="C52" s="46" t="s">
        <v>138</v>
      </c>
      <c r="D52" s="48" t="s">
        <v>108</v>
      </c>
      <c r="E52" s="48" t="s">
        <v>139</v>
      </c>
      <c r="F52" s="49">
        <v>3.7289880000000002</v>
      </c>
      <c r="G52" s="38">
        <v>1</v>
      </c>
      <c r="H52" s="39"/>
      <c r="I52" s="39"/>
      <c r="J52" s="39"/>
      <c r="K52" s="40"/>
      <c r="L52" s="41"/>
      <c r="M52" s="39"/>
      <c r="N52" s="39"/>
      <c r="O52" s="39"/>
      <c r="P52" s="42"/>
      <c r="Q52" s="43"/>
      <c r="R52" s="39"/>
      <c r="S52" s="39"/>
      <c r="T52" s="39"/>
      <c r="U52" s="40"/>
      <c r="V52" s="41"/>
      <c r="W52" s="39"/>
      <c r="X52" s="39"/>
      <c r="Y52" s="39"/>
      <c r="Z52" s="42"/>
      <c r="AA52" s="43"/>
      <c r="AB52" s="39"/>
      <c r="AC52" s="39"/>
      <c r="AD52" s="39"/>
      <c r="AE52" s="42"/>
      <c r="AF52" s="44">
        <v>0</v>
      </c>
      <c r="AG52" s="45">
        <v>360</v>
      </c>
    </row>
    <row r="53" spans="3:33" x14ac:dyDescent="0.25">
      <c r="C53" s="46" t="s">
        <v>140</v>
      </c>
      <c r="D53" s="48" t="s">
        <v>108</v>
      </c>
      <c r="E53" s="48" t="s">
        <v>141</v>
      </c>
      <c r="F53" s="49">
        <v>3.6989890000000001</v>
      </c>
      <c r="G53" s="38">
        <v>1</v>
      </c>
      <c r="H53" s="39"/>
      <c r="I53" s="39"/>
      <c r="J53" s="39"/>
      <c r="K53" s="40"/>
      <c r="L53" s="41"/>
      <c r="M53" s="39"/>
      <c r="N53" s="39"/>
      <c r="O53" s="39"/>
      <c r="P53" s="42"/>
      <c r="Q53" s="43"/>
      <c r="R53" s="39"/>
      <c r="S53" s="39"/>
      <c r="T53" s="39"/>
      <c r="U53" s="40"/>
      <c r="V53" s="41"/>
      <c r="W53" s="39"/>
      <c r="X53" s="39"/>
      <c r="Y53" s="39"/>
      <c r="Z53" s="42"/>
      <c r="AA53" s="43"/>
      <c r="AB53" s="39"/>
      <c r="AC53" s="39"/>
      <c r="AD53" s="39"/>
      <c r="AE53" s="42"/>
      <c r="AF53" s="44">
        <v>0</v>
      </c>
      <c r="AG53" s="45">
        <f>AG52</f>
        <v>360</v>
      </c>
    </row>
    <row r="54" spans="3:33" x14ac:dyDescent="0.25">
      <c r="C54" s="46" t="s">
        <v>142</v>
      </c>
      <c r="D54" s="48" t="s">
        <v>108</v>
      </c>
      <c r="E54" s="54" t="s">
        <v>143</v>
      </c>
      <c r="F54" s="49">
        <v>3.3197750000000004</v>
      </c>
      <c r="G54" s="38">
        <v>1</v>
      </c>
      <c r="H54" s="39"/>
      <c r="I54" s="39"/>
      <c r="J54" s="39"/>
      <c r="K54" s="40"/>
      <c r="L54" s="41"/>
      <c r="M54" s="39"/>
      <c r="N54" s="39"/>
      <c r="O54" s="39"/>
      <c r="P54" s="42"/>
      <c r="Q54" s="43"/>
      <c r="R54" s="39"/>
      <c r="S54" s="39"/>
      <c r="T54" s="39"/>
      <c r="U54" s="40"/>
      <c r="V54" s="41"/>
      <c r="W54" s="39"/>
      <c r="X54" s="39"/>
      <c r="Y54" s="39"/>
      <c r="Z54" s="42"/>
      <c r="AA54" s="43"/>
      <c r="AB54" s="39"/>
      <c r="AC54" s="39"/>
      <c r="AD54" s="39"/>
      <c r="AE54" s="42"/>
      <c r="AF54" s="44"/>
      <c r="AG54" s="45"/>
    </row>
    <row r="55" spans="3:33" x14ac:dyDescent="0.25">
      <c r="C55" s="46" t="s">
        <v>144</v>
      </c>
      <c r="D55" s="48" t="s">
        <v>108</v>
      </c>
      <c r="E55" s="54" t="s">
        <v>145</v>
      </c>
      <c r="F55" s="49">
        <v>3.108053</v>
      </c>
      <c r="G55" s="38">
        <v>1</v>
      </c>
      <c r="H55" s="39"/>
      <c r="I55" s="39"/>
      <c r="J55" s="39"/>
      <c r="K55" s="40"/>
      <c r="L55" s="41"/>
      <c r="M55" s="39"/>
      <c r="N55" s="39"/>
      <c r="O55" s="39"/>
      <c r="P55" s="42"/>
      <c r="Q55" s="43"/>
      <c r="R55" s="39"/>
      <c r="S55" s="39"/>
      <c r="T55" s="39"/>
      <c r="U55" s="40"/>
      <c r="V55" s="41"/>
      <c r="W55" s="39"/>
      <c r="X55" s="39"/>
      <c r="Y55" s="39"/>
      <c r="Z55" s="42"/>
      <c r="AA55" s="43"/>
      <c r="AB55" s="39"/>
      <c r="AC55" s="39"/>
      <c r="AD55" s="39"/>
      <c r="AE55" s="42"/>
      <c r="AF55" s="44"/>
      <c r="AG55" s="45"/>
    </row>
    <row r="56" spans="3:33" x14ac:dyDescent="0.25">
      <c r="C56" s="46" t="s">
        <v>146</v>
      </c>
      <c r="D56" s="48" t="s">
        <v>147</v>
      </c>
      <c r="E56" s="48" t="s">
        <v>148</v>
      </c>
      <c r="F56" s="49">
        <v>2.3802400000000001</v>
      </c>
      <c r="G56" s="38">
        <v>1</v>
      </c>
      <c r="H56" s="39">
        <v>3.4239999999999999</v>
      </c>
      <c r="I56" s="39"/>
      <c r="J56" s="39"/>
      <c r="K56" s="40"/>
      <c r="L56" s="41"/>
      <c r="M56" s="39"/>
      <c r="N56" s="39"/>
      <c r="O56" s="39"/>
      <c r="P56" s="42"/>
      <c r="Q56" s="43"/>
      <c r="R56" s="39">
        <v>80.668999999999997</v>
      </c>
      <c r="S56" s="39"/>
      <c r="T56" s="39"/>
      <c r="U56" s="40"/>
      <c r="V56" s="41"/>
      <c r="W56" s="39"/>
      <c r="X56" s="39"/>
      <c r="Y56" s="39"/>
      <c r="Z56" s="42"/>
      <c r="AA56" s="43"/>
      <c r="AB56" s="39">
        <v>149.64500000000001</v>
      </c>
      <c r="AC56" s="39"/>
      <c r="AD56" s="39"/>
      <c r="AE56" s="42"/>
      <c r="AF56" s="44">
        <v>100</v>
      </c>
      <c r="AG56" s="45">
        <v>210</v>
      </c>
    </row>
    <row r="57" spans="3:33" x14ac:dyDescent="0.25">
      <c r="C57" s="46" t="s">
        <v>149</v>
      </c>
      <c r="D57" s="48" t="s">
        <v>108</v>
      </c>
      <c r="E57" s="54" t="s">
        <v>150</v>
      </c>
      <c r="F57" s="49">
        <v>1.7704260000000001</v>
      </c>
      <c r="G57" s="38">
        <v>1</v>
      </c>
      <c r="H57" s="39"/>
      <c r="I57" s="39"/>
      <c r="J57" s="39"/>
      <c r="K57" s="40"/>
      <c r="L57" s="41"/>
      <c r="M57" s="39"/>
      <c r="N57" s="39"/>
      <c r="O57" s="39"/>
      <c r="P57" s="42"/>
      <c r="Q57" s="43"/>
      <c r="R57" s="39"/>
      <c r="S57" s="39"/>
      <c r="T57" s="39"/>
      <c r="U57" s="40"/>
      <c r="V57" s="41"/>
      <c r="W57" s="39"/>
      <c r="X57" s="39"/>
      <c r="Y57" s="39"/>
      <c r="Z57" s="42"/>
      <c r="AA57" s="43"/>
      <c r="AB57" s="39"/>
      <c r="AC57" s="39"/>
      <c r="AD57" s="39"/>
      <c r="AE57" s="42"/>
      <c r="AF57" s="44"/>
      <c r="AG57" s="45"/>
    </row>
    <row r="58" spans="3:33" x14ac:dyDescent="0.25">
      <c r="C58" s="46" t="s">
        <v>151</v>
      </c>
      <c r="D58" s="48" t="s">
        <v>108</v>
      </c>
      <c r="E58" s="54" t="s">
        <v>152</v>
      </c>
      <c r="F58" s="49">
        <v>1.7296050000000001</v>
      </c>
      <c r="G58" s="38">
        <v>1</v>
      </c>
      <c r="H58" s="39"/>
      <c r="I58" s="39"/>
      <c r="J58" s="39"/>
      <c r="K58" s="40"/>
      <c r="L58" s="41"/>
      <c r="M58" s="39"/>
      <c r="N58" s="39"/>
      <c r="O58" s="39"/>
      <c r="P58" s="42"/>
      <c r="Q58" s="43"/>
      <c r="R58" s="39"/>
      <c r="S58" s="39"/>
      <c r="T58" s="39"/>
      <c r="U58" s="40"/>
      <c r="V58" s="41"/>
      <c r="W58" s="39"/>
      <c r="X58" s="39"/>
      <c r="Y58" s="39"/>
      <c r="Z58" s="42"/>
      <c r="AA58" s="43"/>
      <c r="AB58" s="39"/>
      <c r="AC58" s="39"/>
      <c r="AD58" s="39"/>
      <c r="AE58" s="42"/>
      <c r="AF58" s="44"/>
      <c r="AG58" s="45"/>
    </row>
    <row r="59" spans="3:33" ht="24" x14ac:dyDescent="0.25">
      <c r="C59" s="46" t="s">
        <v>153</v>
      </c>
      <c r="D59" s="48" t="s">
        <v>132</v>
      </c>
      <c r="E59" s="48" t="s">
        <v>154</v>
      </c>
      <c r="F59" s="49">
        <v>1.7084330000000001</v>
      </c>
      <c r="G59" s="38">
        <v>2</v>
      </c>
      <c r="H59" s="39"/>
      <c r="I59" s="39"/>
      <c r="J59" s="39"/>
      <c r="K59" s="40"/>
      <c r="L59" s="41"/>
      <c r="M59" s="39"/>
      <c r="N59" s="39"/>
      <c r="O59" s="39"/>
      <c r="P59" s="42"/>
      <c r="Q59" s="43"/>
      <c r="R59" s="39"/>
      <c r="S59" s="39"/>
      <c r="T59" s="39"/>
      <c r="U59" s="40"/>
      <c r="V59" s="41"/>
      <c r="W59" s="39"/>
      <c r="X59" s="39"/>
      <c r="Y59" s="39"/>
      <c r="Z59" s="42"/>
      <c r="AA59" s="43"/>
      <c r="AB59" s="39"/>
      <c r="AC59" s="39"/>
      <c r="AD59" s="39"/>
      <c r="AE59" s="42"/>
      <c r="AF59" s="44">
        <f>70+30</f>
        <v>100</v>
      </c>
      <c r="AG59" s="45">
        <f>280+200</f>
        <v>480</v>
      </c>
    </row>
    <row r="60" spans="3:33" x14ac:dyDescent="0.25">
      <c r="C60" s="46" t="s">
        <v>155</v>
      </c>
      <c r="D60" s="48" t="s">
        <v>82</v>
      </c>
      <c r="E60" s="48" t="s">
        <v>156</v>
      </c>
      <c r="F60" s="49">
        <v>1.5780000000000001</v>
      </c>
      <c r="G60" s="38">
        <v>1</v>
      </c>
      <c r="H60" s="39"/>
      <c r="I60" s="39"/>
      <c r="J60" s="39"/>
      <c r="K60" s="40"/>
      <c r="L60" s="41"/>
      <c r="M60" s="39"/>
      <c r="N60" s="39"/>
      <c r="O60" s="39"/>
      <c r="P60" s="42"/>
      <c r="Q60" s="43"/>
      <c r="R60" s="39"/>
      <c r="S60" s="39"/>
      <c r="T60" s="39"/>
      <c r="U60" s="40"/>
      <c r="V60" s="41"/>
      <c r="W60" s="39"/>
      <c r="X60" s="39"/>
      <c r="Y60" s="39"/>
      <c r="Z60" s="42"/>
      <c r="AA60" s="43"/>
      <c r="AB60" s="39"/>
      <c r="AC60" s="39"/>
      <c r="AD60" s="39"/>
      <c r="AE60" s="42"/>
      <c r="AF60" s="44">
        <v>70</v>
      </c>
      <c r="AG60" s="45">
        <v>170</v>
      </c>
    </row>
    <row r="61" spans="3:33" x14ac:dyDescent="0.25">
      <c r="C61" s="46" t="s">
        <v>157</v>
      </c>
      <c r="D61" s="48" t="s">
        <v>108</v>
      </c>
      <c r="E61" s="48" t="s">
        <v>158</v>
      </c>
      <c r="F61" s="49">
        <v>1.165252</v>
      </c>
      <c r="G61" s="38">
        <v>1</v>
      </c>
      <c r="H61" s="39"/>
      <c r="I61" s="39"/>
      <c r="J61" s="39"/>
      <c r="K61" s="40"/>
      <c r="L61" s="41"/>
      <c r="M61" s="39"/>
      <c r="N61" s="39"/>
      <c r="O61" s="39"/>
      <c r="P61" s="42"/>
      <c r="Q61" s="43"/>
      <c r="R61" s="39"/>
      <c r="S61" s="39"/>
      <c r="T61" s="39"/>
      <c r="U61" s="40"/>
      <c r="V61" s="41"/>
      <c r="W61" s="39"/>
      <c r="X61" s="39"/>
      <c r="Y61" s="39"/>
      <c r="Z61" s="42"/>
      <c r="AA61" s="43"/>
      <c r="AB61" s="39"/>
      <c r="AC61" s="39"/>
      <c r="AD61" s="39"/>
      <c r="AE61" s="42"/>
      <c r="AF61" s="44">
        <v>95</v>
      </c>
      <c r="AG61" s="45">
        <v>420</v>
      </c>
    </row>
    <row r="62" spans="3:33" x14ac:dyDescent="0.25">
      <c r="C62" s="46" t="s">
        <v>159</v>
      </c>
      <c r="D62" s="48" t="s">
        <v>108</v>
      </c>
      <c r="E62" s="48" t="s">
        <v>160</v>
      </c>
      <c r="F62" s="49">
        <v>0.912076</v>
      </c>
      <c r="G62" s="38">
        <v>1</v>
      </c>
      <c r="H62" s="39"/>
      <c r="I62" s="39"/>
      <c r="J62" s="39"/>
      <c r="K62" s="40"/>
      <c r="L62" s="41"/>
      <c r="M62" s="39"/>
      <c r="N62" s="39"/>
      <c r="O62" s="39"/>
      <c r="P62" s="42"/>
      <c r="Q62" s="43"/>
      <c r="R62" s="39"/>
      <c r="S62" s="39"/>
      <c r="T62" s="39"/>
      <c r="U62" s="40"/>
      <c r="V62" s="41"/>
      <c r="W62" s="39"/>
      <c r="X62" s="39"/>
      <c r="Y62" s="39"/>
      <c r="Z62" s="42"/>
      <c r="AA62" s="43"/>
      <c r="AB62" s="39"/>
      <c r="AC62" s="39"/>
      <c r="AD62" s="39"/>
      <c r="AE62" s="42"/>
      <c r="AF62" s="44">
        <v>0</v>
      </c>
      <c r="AG62" s="45">
        <v>250</v>
      </c>
    </row>
    <row r="63" spans="3:33" x14ac:dyDescent="0.25">
      <c r="C63" s="46" t="s">
        <v>161</v>
      </c>
      <c r="D63" s="48" t="s">
        <v>108</v>
      </c>
      <c r="E63" s="54" t="s">
        <v>162</v>
      </c>
      <c r="F63" s="49">
        <v>0.88892099999999996</v>
      </c>
      <c r="G63" s="38">
        <v>1</v>
      </c>
      <c r="H63" s="39"/>
      <c r="I63" s="39"/>
      <c r="J63" s="39"/>
      <c r="K63" s="40"/>
      <c r="L63" s="41"/>
      <c r="M63" s="39"/>
      <c r="N63" s="39"/>
      <c r="O63" s="39"/>
      <c r="P63" s="42"/>
      <c r="Q63" s="43"/>
      <c r="R63" s="39"/>
      <c r="S63" s="39"/>
      <c r="T63" s="39"/>
      <c r="U63" s="40"/>
      <c r="V63" s="41"/>
      <c r="W63" s="39"/>
      <c r="X63" s="39"/>
      <c r="Y63" s="39"/>
      <c r="Z63" s="42"/>
      <c r="AA63" s="43"/>
      <c r="AB63" s="39"/>
      <c r="AC63" s="39"/>
      <c r="AD63" s="39"/>
      <c r="AE63" s="42"/>
      <c r="AF63" s="44"/>
      <c r="AG63" s="45"/>
    </row>
    <row r="64" spans="3:33" x14ac:dyDescent="0.25">
      <c r="C64" s="46" t="s">
        <v>163</v>
      </c>
      <c r="D64" s="48" t="s">
        <v>108</v>
      </c>
      <c r="E64" s="54" t="s">
        <v>164</v>
      </c>
      <c r="F64" s="49">
        <v>0.79035999999999995</v>
      </c>
      <c r="G64" s="38">
        <v>1</v>
      </c>
      <c r="H64" s="39"/>
      <c r="I64" s="39"/>
      <c r="J64" s="39"/>
      <c r="K64" s="40"/>
      <c r="L64" s="41"/>
      <c r="M64" s="39"/>
      <c r="N64" s="39"/>
      <c r="O64" s="39"/>
      <c r="P64" s="42"/>
      <c r="Q64" s="43"/>
      <c r="R64" s="39"/>
      <c r="S64" s="39"/>
      <c r="T64" s="39"/>
      <c r="U64" s="40"/>
      <c r="V64" s="41"/>
      <c r="W64" s="39"/>
      <c r="X64" s="39"/>
      <c r="Y64" s="39"/>
      <c r="Z64" s="42"/>
      <c r="AA64" s="43"/>
      <c r="AB64" s="39"/>
      <c r="AC64" s="39"/>
      <c r="AD64" s="39"/>
      <c r="AE64" s="42"/>
      <c r="AF64" s="44"/>
      <c r="AG64" s="45"/>
    </row>
    <row r="65" spans="3:33" x14ac:dyDescent="0.25">
      <c r="C65" s="46" t="s">
        <v>165</v>
      </c>
      <c r="D65" s="48" t="s">
        <v>108</v>
      </c>
      <c r="E65" s="54" t="s">
        <v>166</v>
      </c>
      <c r="F65" s="49">
        <v>0.59599999999999997</v>
      </c>
      <c r="G65" s="38">
        <v>1</v>
      </c>
      <c r="H65" s="39"/>
      <c r="I65" s="39"/>
      <c r="J65" s="39"/>
      <c r="K65" s="40"/>
      <c r="L65" s="41"/>
      <c r="M65" s="39"/>
      <c r="N65" s="39"/>
      <c r="O65" s="39"/>
      <c r="P65" s="42"/>
      <c r="Q65" s="43"/>
      <c r="R65" s="39"/>
      <c r="S65" s="39"/>
      <c r="T65" s="39"/>
      <c r="U65" s="40"/>
      <c r="V65" s="41"/>
      <c r="W65" s="39"/>
      <c r="X65" s="39"/>
      <c r="Y65" s="39"/>
      <c r="Z65" s="42"/>
      <c r="AA65" s="43"/>
      <c r="AB65" s="39"/>
      <c r="AC65" s="39"/>
      <c r="AD65" s="39"/>
      <c r="AE65" s="42"/>
      <c r="AF65" s="44"/>
      <c r="AG65" s="45"/>
    </row>
    <row r="66" spans="3:33" x14ac:dyDescent="0.25">
      <c r="C66" s="46" t="s">
        <v>167</v>
      </c>
      <c r="D66" s="48" t="s">
        <v>108</v>
      </c>
      <c r="E66" s="54" t="s">
        <v>168</v>
      </c>
      <c r="F66" s="49">
        <v>0.399698</v>
      </c>
      <c r="G66" s="38">
        <v>1</v>
      </c>
      <c r="H66" s="39"/>
      <c r="I66" s="39"/>
      <c r="J66" s="39"/>
      <c r="K66" s="40"/>
      <c r="L66" s="41"/>
      <c r="M66" s="39"/>
      <c r="N66" s="39"/>
      <c r="O66" s="39"/>
      <c r="P66" s="42"/>
      <c r="Q66" s="43"/>
      <c r="R66" s="39"/>
      <c r="S66" s="39"/>
      <c r="T66" s="39"/>
      <c r="U66" s="40"/>
      <c r="V66" s="41"/>
      <c r="W66" s="39"/>
      <c r="X66" s="39"/>
      <c r="Y66" s="39"/>
      <c r="Z66" s="42"/>
      <c r="AA66" s="43"/>
      <c r="AB66" s="39"/>
      <c r="AC66" s="39"/>
      <c r="AD66" s="39"/>
      <c r="AE66" s="42"/>
      <c r="AF66" s="44"/>
      <c r="AG66" s="45"/>
    </row>
    <row r="67" spans="3:33" x14ac:dyDescent="0.25">
      <c r="C67" s="46" t="s">
        <v>169</v>
      </c>
      <c r="D67" s="48" t="s">
        <v>108</v>
      </c>
      <c r="E67" s="54" t="s">
        <v>170</v>
      </c>
      <c r="F67" s="49">
        <v>0.35894899999999996</v>
      </c>
      <c r="G67" s="38">
        <v>1</v>
      </c>
      <c r="H67" s="39"/>
      <c r="I67" s="39"/>
      <c r="J67" s="39"/>
      <c r="K67" s="40"/>
      <c r="L67" s="41"/>
      <c r="M67" s="39"/>
      <c r="N67" s="39"/>
      <c r="O67" s="39"/>
      <c r="P67" s="42"/>
      <c r="Q67" s="43"/>
      <c r="R67" s="39"/>
      <c r="S67" s="39"/>
      <c r="T67" s="39"/>
      <c r="U67" s="40"/>
      <c r="V67" s="41"/>
      <c r="W67" s="39"/>
      <c r="X67" s="39"/>
      <c r="Y67" s="39"/>
      <c r="Z67" s="42"/>
      <c r="AA67" s="43"/>
      <c r="AB67" s="39"/>
      <c r="AC67" s="39"/>
      <c r="AD67" s="39"/>
      <c r="AE67" s="42"/>
      <c r="AF67" s="44"/>
      <c r="AG67" s="45"/>
    </row>
    <row r="68" spans="3:33" x14ac:dyDescent="0.25">
      <c r="C68" s="46" t="s">
        <v>171</v>
      </c>
      <c r="D68" s="48" t="s">
        <v>108</v>
      </c>
      <c r="E68" s="48" t="s">
        <v>172</v>
      </c>
      <c r="F68" s="49">
        <v>0.310977</v>
      </c>
      <c r="G68" s="38">
        <v>1</v>
      </c>
      <c r="H68" s="39"/>
      <c r="I68" s="39"/>
      <c r="J68" s="39"/>
      <c r="K68" s="40"/>
      <c r="L68" s="41"/>
      <c r="M68" s="39"/>
      <c r="N68" s="39"/>
      <c r="O68" s="39"/>
      <c r="P68" s="42"/>
      <c r="Q68" s="43"/>
      <c r="R68" s="39"/>
      <c r="S68" s="39"/>
      <c r="T68" s="39"/>
      <c r="U68" s="40"/>
      <c r="V68" s="41"/>
      <c r="W68" s="39"/>
      <c r="X68" s="39"/>
      <c r="Y68" s="39"/>
      <c r="Z68" s="42"/>
      <c r="AA68" s="43"/>
      <c r="AB68" s="39"/>
      <c r="AC68" s="39"/>
      <c r="AD68" s="39"/>
      <c r="AE68" s="42"/>
      <c r="AF68" s="44">
        <v>0</v>
      </c>
      <c r="AG68" s="45">
        <v>175</v>
      </c>
    </row>
    <row r="69" spans="3:33" x14ac:dyDescent="0.25">
      <c r="C69" s="46" t="s">
        <v>173</v>
      </c>
      <c r="D69" s="48" t="s">
        <v>44</v>
      </c>
      <c r="E69" s="58" t="s">
        <v>174</v>
      </c>
      <c r="F69" s="49">
        <v>0.29870200000000002</v>
      </c>
      <c r="G69" s="38">
        <v>1</v>
      </c>
      <c r="H69" s="39"/>
      <c r="I69" s="39"/>
      <c r="J69" s="39"/>
      <c r="K69" s="40"/>
      <c r="L69" s="41"/>
      <c r="M69" s="39"/>
      <c r="N69" s="39"/>
      <c r="O69" s="39"/>
      <c r="P69" s="42"/>
      <c r="Q69" s="43"/>
      <c r="R69" s="39"/>
      <c r="S69" s="39"/>
      <c r="T69" s="39"/>
      <c r="U69" s="40"/>
      <c r="V69" s="41"/>
      <c r="W69" s="39"/>
      <c r="X69" s="39"/>
      <c r="Y69" s="39"/>
      <c r="Z69" s="42"/>
      <c r="AA69" s="43"/>
      <c r="AB69" s="39"/>
      <c r="AC69" s="39"/>
      <c r="AD69" s="39"/>
      <c r="AE69" s="42"/>
      <c r="AF69" s="44"/>
      <c r="AG69" s="45"/>
    </row>
    <row r="70" spans="3:33" x14ac:dyDescent="0.25">
      <c r="C70" s="46" t="s">
        <v>175</v>
      </c>
      <c r="D70" s="48" t="s">
        <v>108</v>
      </c>
      <c r="E70" s="54" t="s">
        <v>176</v>
      </c>
      <c r="F70" s="49">
        <v>0.25600000000000001</v>
      </c>
      <c r="G70" s="38">
        <v>1</v>
      </c>
      <c r="H70" s="39"/>
      <c r="I70" s="39"/>
      <c r="J70" s="39"/>
      <c r="K70" s="40"/>
      <c r="L70" s="41"/>
      <c r="M70" s="39"/>
      <c r="N70" s="39"/>
      <c r="O70" s="39"/>
      <c r="P70" s="42"/>
      <c r="Q70" s="43"/>
      <c r="R70" s="39"/>
      <c r="S70" s="39"/>
      <c r="T70" s="39"/>
      <c r="U70" s="40"/>
      <c r="V70" s="41"/>
      <c r="W70" s="39"/>
      <c r="X70" s="39"/>
      <c r="Y70" s="39"/>
      <c r="Z70" s="42"/>
      <c r="AA70" s="43"/>
      <c r="AB70" s="39"/>
      <c r="AC70" s="39"/>
      <c r="AD70" s="39"/>
      <c r="AE70" s="42"/>
      <c r="AF70" s="44"/>
      <c r="AG70" s="45"/>
    </row>
    <row r="71" spans="3:33" x14ac:dyDescent="0.25">
      <c r="C71" s="46" t="s">
        <v>177</v>
      </c>
      <c r="D71" s="48" t="s">
        <v>44</v>
      </c>
      <c r="E71" s="58" t="s">
        <v>178</v>
      </c>
      <c r="F71" s="49">
        <v>0.25087300000000001</v>
      </c>
      <c r="G71" s="38">
        <v>1</v>
      </c>
      <c r="H71" s="39"/>
      <c r="I71" s="39"/>
      <c r="J71" s="39"/>
      <c r="K71" s="40"/>
      <c r="L71" s="41"/>
      <c r="M71" s="39"/>
      <c r="N71" s="39"/>
      <c r="O71" s="39"/>
      <c r="P71" s="42"/>
      <c r="Q71" s="43"/>
      <c r="R71" s="39"/>
      <c r="S71" s="39"/>
      <c r="T71" s="39"/>
      <c r="U71" s="40"/>
      <c r="V71" s="41"/>
      <c r="W71" s="39"/>
      <c r="X71" s="39"/>
      <c r="Y71" s="39"/>
      <c r="Z71" s="42"/>
      <c r="AA71" s="43"/>
      <c r="AB71" s="39"/>
      <c r="AC71" s="39"/>
      <c r="AD71" s="39"/>
      <c r="AE71" s="42"/>
      <c r="AF71" s="44"/>
      <c r="AG71" s="45"/>
    </row>
    <row r="72" spans="3:33" x14ac:dyDescent="0.25">
      <c r="C72" s="46" t="s">
        <v>179</v>
      </c>
      <c r="D72" s="48" t="s">
        <v>108</v>
      </c>
      <c r="E72" s="48" t="s">
        <v>180</v>
      </c>
      <c r="F72" s="49">
        <v>0.21649199999999999</v>
      </c>
      <c r="G72" s="38">
        <v>1</v>
      </c>
      <c r="H72" s="39"/>
      <c r="I72" s="39"/>
      <c r="J72" s="39"/>
      <c r="K72" s="40"/>
      <c r="L72" s="41"/>
      <c r="M72" s="39"/>
      <c r="N72" s="39"/>
      <c r="O72" s="39"/>
      <c r="P72" s="42"/>
      <c r="Q72" s="43"/>
      <c r="R72" s="39"/>
      <c r="S72" s="39"/>
      <c r="T72" s="39"/>
      <c r="U72" s="40"/>
      <c r="V72" s="41"/>
      <c r="W72" s="39"/>
      <c r="X72" s="39"/>
      <c r="Y72" s="39"/>
      <c r="Z72" s="42"/>
      <c r="AA72" s="43"/>
      <c r="AB72" s="39"/>
      <c r="AC72" s="39"/>
      <c r="AD72" s="39"/>
      <c r="AE72" s="42"/>
      <c r="AF72" s="44">
        <v>250</v>
      </c>
      <c r="AG72" s="45">
        <v>330</v>
      </c>
    </row>
    <row r="73" spans="3:33" x14ac:dyDescent="0.25">
      <c r="C73" s="46" t="s">
        <v>181</v>
      </c>
      <c r="D73" s="48" t="s">
        <v>108</v>
      </c>
      <c r="E73" s="48" t="s">
        <v>182</v>
      </c>
      <c r="F73" s="49">
        <v>0.197354</v>
      </c>
      <c r="G73" s="38">
        <v>1</v>
      </c>
      <c r="H73" s="39"/>
      <c r="I73" s="39"/>
      <c r="J73" s="39"/>
      <c r="K73" s="40"/>
      <c r="L73" s="41"/>
      <c r="M73" s="39"/>
      <c r="N73" s="39"/>
      <c r="O73" s="39"/>
      <c r="P73" s="42"/>
      <c r="Q73" s="43"/>
      <c r="R73" s="39"/>
      <c r="S73" s="39"/>
      <c r="T73" s="39"/>
      <c r="U73" s="40"/>
      <c r="V73" s="41"/>
      <c r="W73" s="39"/>
      <c r="X73" s="39"/>
      <c r="Y73" s="39"/>
      <c r="Z73" s="42"/>
      <c r="AA73" s="43"/>
      <c r="AB73" s="39"/>
      <c r="AC73" s="39"/>
      <c r="AD73" s="39"/>
      <c r="AE73" s="42"/>
      <c r="AF73" s="44">
        <v>45</v>
      </c>
      <c r="AG73" s="45">
        <v>380</v>
      </c>
    </row>
    <row r="74" spans="3:33" x14ac:dyDescent="0.25">
      <c r="C74" s="46" t="s">
        <v>183</v>
      </c>
      <c r="D74" s="48" t="s">
        <v>108</v>
      </c>
      <c r="E74" s="48" t="s">
        <v>184</v>
      </c>
      <c r="F74" s="49">
        <v>0.187998</v>
      </c>
      <c r="G74" s="38">
        <v>1</v>
      </c>
      <c r="H74" s="39"/>
      <c r="I74" s="39"/>
      <c r="J74" s="39"/>
      <c r="K74" s="40"/>
      <c r="L74" s="41"/>
      <c r="M74" s="39"/>
      <c r="N74" s="39"/>
      <c r="O74" s="39"/>
      <c r="P74" s="42"/>
      <c r="Q74" s="43"/>
      <c r="R74" s="39"/>
      <c r="S74" s="39"/>
      <c r="T74" s="39"/>
      <c r="U74" s="40"/>
      <c r="V74" s="41"/>
      <c r="W74" s="39"/>
      <c r="X74" s="39"/>
      <c r="Y74" s="39"/>
      <c r="Z74" s="42"/>
      <c r="AA74" s="43"/>
      <c r="AB74" s="39"/>
      <c r="AC74" s="39"/>
      <c r="AD74" s="39"/>
      <c r="AE74" s="42"/>
      <c r="AF74" s="44">
        <v>0</v>
      </c>
      <c r="AG74" s="45">
        <v>240</v>
      </c>
    </row>
    <row r="75" spans="3:33" x14ac:dyDescent="0.25">
      <c r="C75" s="46" t="s">
        <v>185</v>
      </c>
      <c r="D75" s="48" t="s">
        <v>108</v>
      </c>
      <c r="E75" s="48" t="s">
        <v>186</v>
      </c>
      <c r="F75" s="49">
        <v>0.17899999999999999</v>
      </c>
      <c r="G75" s="38">
        <v>1</v>
      </c>
      <c r="H75" s="39"/>
      <c r="I75" s="39"/>
      <c r="J75" s="39"/>
      <c r="K75" s="40"/>
      <c r="L75" s="41"/>
      <c r="M75" s="39"/>
      <c r="N75" s="39"/>
      <c r="O75" s="39"/>
      <c r="P75" s="42"/>
      <c r="Q75" s="43"/>
      <c r="R75" s="39"/>
      <c r="S75" s="39"/>
      <c r="T75" s="39"/>
      <c r="U75" s="40"/>
      <c r="V75" s="41"/>
      <c r="W75" s="39"/>
      <c r="X75" s="39"/>
      <c r="Y75" s="39"/>
      <c r="Z75" s="42"/>
      <c r="AA75" s="43"/>
      <c r="AB75" s="39"/>
      <c r="AC75" s="39"/>
      <c r="AD75" s="39"/>
      <c r="AE75" s="42"/>
      <c r="AF75" s="44">
        <v>0</v>
      </c>
      <c r="AG75" s="45">
        <v>240</v>
      </c>
    </row>
    <row r="76" spans="3:33" x14ac:dyDescent="0.25">
      <c r="C76" s="46" t="s">
        <v>187</v>
      </c>
      <c r="D76" s="48" t="s">
        <v>44</v>
      </c>
      <c r="E76" s="47" t="s">
        <v>188</v>
      </c>
      <c r="F76" s="49">
        <v>0.17616899999999999</v>
      </c>
      <c r="G76" s="38">
        <v>1</v>
      </c>
      <c r="H76" s="39"/>
      <c r="I76" s="39"/>
      <c r="J76" s="39"/>
      <c r="K76" s="40"/>
      <c r="L76" s="41"/>
      <c r="M76" s="39"/>
      <c r="N76" s="39"/>
      <c r="O76" s="39"/>
      <c r="P76" s="42"/>
      <c r="Q76" s="43"/>
      <c r="R76" s="39"/>
      <c r="S76" s="39"/>
      <c r="T76" s="39"/>
      <c r="U76" s="40"/>
      <c r="V76" s="41"/>
      <c r="W76" s="39"/>
      <c r="X76" s="39"/>
      <c r="Y76" s="39"/>
      <c r="Z76" s="42"/>
      <c r="AA76" s="43"/>
      <c r="AB76" s="39"/>
      <c r="AC76" s="39"/>
      <c r="AD76" s="39"/>
      <c r="AE76" s="42"/>
      <c r="AF76" s="44">
        <v>600</v>
      </c>
      <c r="AG76" s="45">
        <v>710</v>
      </c>
    </row>
    <row r="77" spans="3:33" x14ac:dyDescent="0.25">
      <c r="C77" s="46" t="s">
        <v>189</v>
      </c>
      <c r="D77" s="48" t="s">
        <v>44</v>
      </c>
      <c r="E77" s="58" t="s">
        <v>190</v>
      </c>
      <c r="F77" s="49">
        <v>0.16936999999999999</v>
      </c>
      <c r="G77" s="38">
        <v>1</v>
      </c>
      <c r="H77" s="39"/>
      <c r="I77" s="39"/>
      <c r="J77" s="39"/>
      <c r="K77" s="40"/>
      <c r="L77" s="41"/>
      <c r="M77" s="39"/>
      <c r="N77" s="39"/>
      <c r="O77" s="39"/>
      <c r="P77" s="42"/>
      <c r="Q77" s="43"/>
      <c r="R77" s="39"/>
      <c r="S77" s="39"/>
      <c r="T77" s="39"/>
      <c r="U77" s="40"/>
      <c r="V77" s="41"/>
      <c r="W77" s="39"/>
      <c r="X77" s="39"/>
      <c r="Y77" s="39"/>
      <c r="Z77" s="42"/>
      <c r="AA77" s="43"/>
      <c r="AB77" s="39"/>
      <c r="AC77" s="39"/>
      <c r="AD77" s="39"/>
      <c r="AE77" s="42"/>
      <c r="AF77" s="44"/>
      <c r="AG77" s="45"/>
    </row>
    <row r="78" spans="3:33" x14ac:dyDescent="0.25">
      <c r="C78" s="46" t="s">
        <v>191</v>
      </c>
      <c r="D78" s="48" t="s">
        <v>108</v>
      </c>
      <c r="E78" s="48" t="s">
        <v>192</v>
      </c>
      <c r="F78" s="49">
        <v>0.16916</v>
      </c>
      <c r="G78" s="38">
        <v>1</v>
      </c>
      <c r="H78" s="39"/>
      <c r="I78" s="39"/>
      <c r="J78" s="39"/>
      <c r="K78" s="40"/>
      <c r="L78" s="41"/>
      <c r="M78" s="39"/>
      <c r="N78" s="39"/>
      <c r="O78" s="39"/>
      <c r="P78" s="42"/>
      <c r="Q78" s="43"/>
      <c r="R78" s="39"/>
      <c r="S78" s="39"/>
      <c r="T78" s="39"/>
      <c r="U78" s="40"/>
      <c r="V78" s="41"/>
      <c r="W78" s="39"/>
      <c r="X78" s="39"/>
      <c r="Y78" s="39"/>
      <c r="Z78" s="42"/>
      <c r="AA78" s="43"/>
      <c r="AB78" s="39"/>
      <c r="AC78" s="39"/>
      <c r="AD78" s="39"/>
      <c r="AE78" s="42"/>
      <c r="AF78" s="44">
        <v>60</v>
      </c>
      <c r="AG78" s="45">
        <v>420</v>
      </c>
    </row>
    <row r="79" spans="3:33" x14ac:dyDescent="0.25">
      <c r="C79" s="46" t="s">
        <v>193</v>
      </c>
      <c r="D79" s="48" t="s">
        <v>44</v>
      </c>
      <c r="E79" s="58" t="s">
        <v>194</v>
      </c>
      <c r="F79" s="49">
        <v>0.167988</v>
      </c>
      <c r="G79" s="38">
        <v>1</v>
      </c>
      <c r="H79" s="39"/>
      <c r="I79" s="39"/>
      <c r="J79" s="39"/>
      <c r="K79" s="40"/>
      <c r="L79" s="41"/>
      <c r="M79" s="39"/>
      <c r="N79" s="39"/>
      <c r="O79" s="39"/>
      <c r="P79" s="42"/>
      <c r="Q79" s="43"/>
      <c r="R79" s="39"/>
      <c r="S79" s="39"/>
      <c r="T79" s="39"/>
      <c r="U79" s="40"/>
      <c r="V79" s="41"/>
      <c r="W79" s="39"/>
      <c r="X79" s="39"/>
      <c r="Y79" s="39"/>
      <c r="Z79" s="42"/>
      <c r="AA79" s="43"/>
      <c r="AB79" s="39"/>
      <c r="AC79" s="39"/>
      <c r="AD79" s="39"/>
      <c r="AE79" s="42"/>
      <c r="AF79" s="44"/>
      <c r="AG79" s="45"/>
    </row>
    <row r="80" spans="3:33" x14ac:dyDescent="0.25">
      <c r="C80" s="46" t="s">
        <v>195</v>
      </c>
      <c r="D80" s="48" t="s">
        <v>44</v>
      </c>
      <c r="E80" s="58" t="s">
        <v>196</v>
      </c>
      <c r="F80" s="49">
        <v>0.164434</v>
      </c>
      <c r="G80" s="38">
        <v>1</v>
      </c>
      <c r="H80" s="39"/>
      <c r="I80" s="39"/>
      <c r="J80" s="39"/>
      <c r="K80" s="40"/>
      <c r="L80" s="41"/>
      <c r="M80" s="39"/>
      <c r="N80" s="39"/>
      <c r="O80" s="39"/>
      <c r="P80" s="42"/>
      <c r="Q80" s="43"/>
      <c r="R80" s="39"/>
      <c r="S80" s="39"/>
      <c r="T80" s="39"/>
      <c r="U80" s="40"/>
      <c r="V80" s="41"/>
      <c r="W80" s="39"/>
      <c r="X80" s="39"/>
      <c r="Y80" s="39"/>
      <c r="Z80" s="42"/>
      <c r="AA80" s="43"/>
      <c r="AB80" s="39"/>
      <c r="AC80" s="39"/>
      <c r="AD80" s="39"/>
      <c r="AE80" s="42"/>
      <c r="AF80" s="44"/>
      <c r="AG80" s="45"/>
    </row>
    <row r="81" spans="3:33" x14ac:dyDescent="0.25">
      <c r="C81" s="46" t="s">
        <v>197</v>
      </c>
      <c r="D81" s="48" t="s">
        <v>44</v>
      </c>
      <c r="E81" s="58" t="s">
        <v>198</v>
      </c>
      <c r="F81" s="49">
        <v>0.16383</v>
      </c>
      <c r="G81" s="38">
        <v>1</v>
      </c>
      <c r="H81" s="39"/>
      <c r="I81" s="39"/>
      <c r="J81" s="39"/>
      <c r="K81" s="40"/>
      <c r="L81" s="41"/>
      <c r="M81" s="39"/>
      <c r="N81" s="39"/>
      <c r="O81" s="39"/>
      <c r="P81" s="42"/>
      <c r="Q81" s="43"/>
      <c r="R81" s="39"/>
      <c r="S81" s="39"/>
      <c r="T81" s="39"/>
      <c r="U81" s="40"/>
      <c r="V81" s="41"/>
      <c r="W81" s="39"/>
      <c r="X81" s="39"/>
      <c r="Y81" s="39"/>
      <c r="Z81" s="42"/>
      <c r="AA81" s="43"/>
      <c r="AB81" s="39"/>
      <c r="AC81" s="39"/>
      <c r="AD81" s="39"/>
      <c r="AE81" s="42"/>
      <c r="AF81" s="44"/>
      <c r="AG81" s="45"/>
    </row>
    <row r="82" spans="3:33" x14ac:dyDescent="0.25">
      <c r="C82" s="46" t="s">
        <v>199</v>
      </c>
      <c r="D82" s="48" t="s">
        <v>44</v>
      </c>
      <c r="E82" s="58" t="s">
        <v>200</v>
      </c>
      <c r="F82" s="49">
        <v>0.15648999999999999</v>
      </c>
      <c r="G82" s="38">
        <v>1</v>
      </c>
      <c r="H82" s="39"/>
      <c r="I82" s="39"/>
      <c r="J82" s="39"/>
      <c r="K82" s="40"/>
      <c r="L82" s="41"/>
      <c r="M82" s="39"/>
      <c r="N82" s="39"/>
      <c r="O82" s="39"/>
      <c r="P82" s="42"/>
      <c r="Q82" s="43"/>
      <c r="R82" s="39"/>
      <c r="S82" s="39"/>
      <c r="T82" s="39"/>
      <c r="U82" s="40"/>
      <c r="V82" s="41"/>
      <c r="W82" s="39"/>
      <c r="X82" s="39"/>
      <c r="Y82" s="39"/>
      <c r="Z82" s="42"/>
      <c r="AA82" s="43"/>
      <c r="AB82" s="39"/>
      <c r="AC82" s="39"/>
      <c r="AD82" s="39"/>
      <c r="AE82" s="42"/>
      <c r="AF82" s="44"/>
      <c r="AG82" s="45"/>
    </row>
    <row r="83" spans="3:33" x14ac:dyDescent="0.25">
      <c r="C83" s="46" t="s">
        <v>201</v>
      </c>
      <c r="D83" s="48" t="s">
        <v>44</v>
      </c>
      <c r="E83" s="58" t="s">
        <v>202</v>
      </c>
      <c r="F83" s="49">
        <v>0.14916499999999999</v>
      </c>
      <c r="G83" s="38">
        <v>1</v>
      </c>
      <c r="H83" s="39"/>
      <c r="I83" s="39"/>
      <c r="J83" s="39"/>
      <c r="K83" s="40"/>
      <c r="L83" s="41"/>
      <c r="M83" s="39"/>
      <c r="N83" s="39"/>
      <c r="O83" s="39"/>
      <c r="P83" s="42"/>
      <c r="Q83" s="43"/>
      <c r="R83" s="39"/>
      <c r="S83" s="39"/>
      <c r="T83" s="39"/>
      <c r="U83" s="40"/>
      <c r="V83" s="41"/>
      <c r="W83" s="39"/>
      <c r="X83" s="39"/>
      <c r="Y83" s="39"/>
      <c r="Z83" s="42"/>
      <c r="AA83" s="43"/>
      <c r="AB83" s="39"/>
      <c r="AC83" s="39"/>
      <c r="AD83" s="39"/>
      <c r="AE83" s="42"/>
      <c r="AF83" s="44"/>
      <c r="AG83" s="45"/>
    </row>
    <row r="84" spans="3:33" x14ac:dyDescent="0.25">
      <c r="C84" s="46" t="s">
        <v>203</v>
      </c>
      <c r="D84" s="48" t="s">
        <v>108</v>
      </c>
      <c r="E84" s="48" t="s">
        <v>204</v>
      </c>
      <c r="F84" s="49">
        <v>0.12471599999999999</v>
      </c>
      <c r="G84" s="38">
        <v>1</v>
      </c>
      <c r="H84" s="39"/>
      <c r="I84" s="39"/>
      <c r="J84" s="39"/>
      <c r="K84" s="40"/>
      <c r="L84" s="41"/>
      <c r="M84" s="39"/>
      <c r="N84" s="39"/>
      <c r="O84" s="39"/>
      <c r="P84" s="42"/>
      <c r="Q84" s="43"/>
      <c r="R84" s="39"/>
      <c r="S84" s="39"/>
      <c r="T84" s="39"/>
      <c r="U84" s="40"/>
      <c r="V84" s="41"/>
      <c r="W84" s="39"/>
      <c r="X84" s="39"/>
      <c r="Y84" s="39"/>
      <c r="Z84" s="42"/>
      <c r="AA84" s="43"/>
      <c r="AB84" s="39"/>
      <c r="AC84" s="39"/>
      <c r="AD84" s="39"/>
      <c r="AE84" s="42"/>
      <c r="AF84" s="44">
        <v>0</v>
      </c>
      <c r="AG84" s="45">
        <v>380</v>
      </c>
    </row>
    <row r="85" spans="3:33" x14ac:dyDescent="0.25">
      <c r="C85" s="46" t="s">
        <v>205</v>
      </c>
      <c r="D85" s="48" t="s">
        <v>108</v>
      </c>
      <c r="E85" s="48" t="s">
        <v>206</v>
      </c>
      <c r="F85" s="49">
        <v>0.104938</v>
      </c>
      <c r="G85" s="38">
        <v>1</v>
      </c>
      <c r="H85" s="39"/>
      <c r="I85" s="39"/>
      <c r="J85" s="39"/>
      <c r="K85" s="40"/>
      <c r="L85" s="41"/>
      <c r="M85" s="39"/>
      <c r="N85" s="39"/>
      <c r="O85" s="39"/>
      <c r="P85" s="42"/>
      <c r="Q85" s="43"/>
      <c r="R85" s="39"/>
      <c r="S85" s="39"/>
      <c r="T85" s="39"/>
      <c r="U85" s="40"/>
      <c r="V85" s="41"/>
      <c r="W85" s="39"/>
      <c r="X85" s="39"/>
      <c r="Y85" s="39"/>
      <c r="Z85" s="42"/>
      <c r="AA85" s="43"/>
      <c r="AB85" s="39"/>
      <c r="AC85" s="39"/>
      <c r="AD85" s="39"/>
      <c r="AE85" s="42"/>
      <c r="AF85" s="44">
        <v>0</v>
      </c>
      <c r="AG85" s="45">
        <v>290</v>
      </c>
    </row>
    <row r="86" spans="3:33" x14ac:dyDescent="0.25">
      <c r="C86" s="46" t="s">
        <v>207</v>
      </c>
      <c r="D86" s="48" t="s">
        <v>108</v>
      </c>
      <c r="E86" s="54" t="s">
        <v>208</v>
      </c>
      <c r="F86" s="49">
        <v>8.1105999999999998E-2</v>
      </c>
      <c r="G86" s="38">
        <v>1</v>
      </c>
      <c r="H86" s="39"/>
      <c r="I86" s="39"/>
      <c r="J86" s="39"/>
      <c r="K86" s="40"/>
      <c r="L86" s="41"/>
      <c r="M86" s="39"/>
      <c r="N86" s="39"/>
      <c r="O86" s="39"/>
      <c r="P86" s="42"/>
      <c r="Q86" s="43"/>
      <c r="R86" s="39"/>
      <c r="S86" s="39"/>
      <c r="T86" s="39"/>
      <c r="U86" s="40"/>
      <c r="V86" s="41"/>
      <c r="W86" s="39"/>
      <c r="X86" s="39"/>
      <c r="Y86" s="39"/>
      <c r="Z86" s="42"/>
      <c r="AA86" s="43"/>
      <c r="AB86" s="39"/>
      <c r="AC86" s="39"/>
      <c r="AD86" s="39"/>
      <c r="AE86" s="42"/>
      <c r="AF86" s="44"/>
      <c r="AG86" s="45"/>
    </row>
    <row r="87" spans="3:33" x14ac:dyDescent="0.25">
      <c r="C87" s="46" t="s">
        <v>209</v>
      </c>
      <c r="D87" s="48" t="s">
        <v>108</v>
      </c>
      <c r="E87" s="48" t="s">
        <v>210</v>
      </c>
      <c r="F87" s="49">
        <v>8.1000000000000003E-2</v>
      </c>
      <c r="G87" s="38">
        <v>1</v>
      </c>
      <c r="H87" s="39"/>
      <c r="I87" s="39"/>
      <c r="J87" s="39"/>
      <c r="K87" s="40"/>
      <c r="L87" s="41"/>
      <c r="M87" s="39"/>
      <c r="N87" s="39"/>
      <c r="O87" s="39"/>
      <c r="P87" s="42"/>
      <c r="Q87" s="43"/>
      <c r="R87" s="39"/>
      <c r="S87" s="39"/>
      <c r="T87" s="39"/>
      <c r="U87" s="40"/>
      <c r="V87" s="41"/>
      <c r="W87" s="39"/>
      <c r="X87" s="39"/>
      <c r="Y87" s="39"/>
      <c r="Z87" s="42"/>
      <c r="AA87" s="43"/>
      <c r="AB87" s="39"/>
      <c r="AC87" s="39"/>
      <c r="AD87" s="39"/>
      <c r="AE87" s="42"/>
      <c r="AF87" s="44">
        <v>0</v>
      </c>
      <c r="AG87" s="45">
        <v>350</v>
      </c>
    </row>
    <row r="88" spans="3:33" x14ac:dyDescent="0.25">
      <c r="C88" s="46" t="s">
        <v>211</v>
      </c>
      <c r="D88" s="48" t="s">
        <v>108</v>
      </c>
      <c r="E88" s="48" t="s">
        <v>212</v>
      </c>
      <c r="F88" s="49">
        <v>7.6121999999999995E-2</v>
      </c>
      <c r="G88" s="38">
        <v>1</v>
      </c>
      <c r="H88" s="39"/>
      <c r="I88" s="39"/>
      <c r="J88" s="39"/>
      <c r="K88" s="40"/>
      <c r="L88" s="41"/>
      <c r="M88" s="39"/>
      <c r="N88" s="39"/>
      <c r="O88" s="39"/>
      <c r="P88" s="42"/>
      <c r="Q88" s="43"/>
      <c r="R88" s="39"/>
      <c r="S88" s="39"/>
      <c r="T88" s="39"/>
      <c r="U88" s="40"/>
      <c r="V88" s="41"/>
      <c r="W88" s="39"/>
      <c r="X88" s="39"/>
      <c r="Y88" s="39"/>
      <c r="Z88" s="42"/>
      <c r="AA88" s="43"/>
      <c r="AB88" s="39"/>
      <c r="AC88" s="39"/>
      <c r="AD88" s="39"/>
      <c r="AE88" s="42"/>
      <c r="AF88" s="44">
        <v>25</v>
      </c>
      <c r="AG88" s="45">
        <v>250</v>
      </c>
    </row>
    <row r="89" spans="3:33" x14ac:dyDescent="0.25">
      <c r="C89" s="46" t="s">
        <v>213</v>
      </c>
      <c r="D89" s="48" t="s">
        <v>108</v>
      </c>
      <c r="E89" s="48" t="s">
        <v>214</v>
      </c>
      <c r="F89" s="49">
        <v>7.0484000000000005E-2</v>
      </c>
      <c r="G89" s="38">
        <v>1</v>
      </c>
      <c r="H89" s="39"/>
      <c r="I89" s="39"/>
      <c r="J89" s="39"/>
      <c r="K89" s="40"/>
      <c r="L89" s="41"/>
      <c r="M89" s="39"/>
      <c r="N89" s="39"/>
      <c r="O89" s="39"/>
      <c r="P89" s="42"/>
      <c r="Q89" s="43"/>
      <c r="R89" s="39"/>
      <c r="S89" s="39"/>
      <c r="T89" s="39"/>
      <c r="U89" s="40"/>
      <c r="V89" s="41"/>
      <c r="W89" s="39"/>
      <c r="X89" s="39"/>
      <c r="Y89" s="39"/>
      <c r="Z89" s="42"/>
      <c r="AA89" s="43"/>
      <c r="AB89" s="39"/>
      <c r="AC89" s="39"/>
      <c r="AD89" s="39"/>
      <c r="AE89" s="42"/>
      <c r="AF89" s="44">
        <v>35</v>
      </c>
      <c r="AG89" s="45">
        <v>240</v>
      </c>
    </row>
    <row r="90" spans="3:33" x14ac:dyDescent="0.25">
      <c r="C90" s="46" t="s">
        <v>215</v>
      </c>
      <c r="D90" s="48" t="s">
        <v>108</v>
      </c>
      <c r="E90" s="48" t="s">
        <v>216</v>
      </c>
      <c r="F90" s="49">
        <v>6.4281000000000005E-2</v>
      </c>
      <c r="G90" s="38">
        <v>1</v>
      </c>
      <c r="H90" s="39"/>
      <c r="I90" s="39"/>
      <c r="J90" s="39"/>
      <c r="K90" s="40"/>
      <c r="L90" s="41"/>
      <c r="M90" s="39"/>
      <c r="N90" s="39"/>
      <c r="O90" s="39"/>
      <c r="P90" s="42"/>
      <c r="Q90" s="43"/>
      <c r="R90" s="39"/>
      <c r="S90" s="39"/>
      <c r="T90" s="39"/>
      <c r="U90" s="40"/>
      <c r="V90" s="41"/>
      <c r="W90" s="39"/>
      <c r="X90" s="39"/>
      <c r="Y90" s="39"/>
      <c r="Z90" s="42"/>
      <c r="AA90" s="43"/>
      <c r="AB90" s="39"/>
      <c r="AC90" s="39"/>
      <c r="AD90" s="39"/>
      <c r="AE90" s="42"/>
      <c r="AF90" s="44">
        <v>20</v>
      </c>
      <c r="AG90" s="45">
        <v>260</v>
      </c>
    </row>
    <row r="91" spans="3:33" x14ac:dyDescent="0.25">
      <c r="C91" s="46" t="s">
        <v>217</v>
      </c>
      <c r="D91" s="48" t="s">
        <v>108</v>
      </c>
      <c r="E91" s="48" t="s">
        <v>218</v>
      </c>
      <c r="F91" s="49">
        <v>2.3E-2</v>
      </c>
      <c r="G91" s="38">
        <v>1</v>
      </c>
      <c r="H91" s="39"/>
      <c r="I91" s="39"/>
      <c r="J91" s="39"/>
      <c r="K91" s="40"/>
      <c r="L91" s="41"/>
      <c r="M91" s="39"/>
      <c r="N91" s="39"/>
      <c r="O91" s="39"/>
      <c r="P91" s="42"/>
      <c r="Q91" s="43"/>
      <c r="R91" s="39"/>
      <c r="S91" s="39"/>
      <c r="T91" s="39"/>
      <c r="U91" s="40"/>
      <c r="V91" s="41"/>
      <c r="W91" s="39"/>
      <c r="X91" s="39"/>
      <c r="Y91" s="39"/>
      <c r="Z91" s="42"/>
      <c r="AA91" s="43"/>
      <c r="AB91" s="39"/>
      <c r="AC91" s="39"/>
      <c r="AD91" s="39"/>
      <c r="AE91" s="42"/>
      <c r="AF91" s="44">
        <v>50</v>
      </c>
      <c r="AG91" s="45">
        <v>170</v>
      </c>
    </row>
    <row r="92" spans="3:33" x14ac:dyDescent="0.25">
      <c r="C92" s="46" t="s">
        <v>219</v>
      </c>
      <c r="D92" s="48" t="s">
        <v>108</v>
      </c>
      <c r="E92" s="48" t="s">
        <v>220</v>
      </c>
      <c r="F92" s="49">
        <v>1.6277E-2</v>
      </c>
      <c r="G92" s="38">
        <v>1</v>
      </c>
      <c r="H92" s="39"/>
      <c r="I92" s="39"/>
      <c r="J92" s="39"/>
      <c r="K92" s="40"/>
      <c r="L92" s="41"/>
      <c r="M92" s="39"/>
      <c r="N92" s="39"/>
      <c r="O92" s="39"/>
      <c r="P92" s="42"/>
      <c r="Q92" s="43"/>
      <c r="R92" s="39"/>
      <c r="S92" s="39"/>
      <c r="T92" s="39"/>
      <c r="U92" s="40"/>
      <c r="V92" s="41"/>
      <c r="W92" s="39"/>
      <c r="X92" s="39"/>
      <c r="Y92" s="39"/>
      <c r="Z92" s="42"/>
      <c r="AA92" s="43"/>
      <c r="AB92" s="39"/>
      <c r="AC92" s="39"/>
      <c r="AD92" s="39"/>
      <c r="AE92" s="42"/>
      <c r="AF92" s="44">
        <v>0</v>
      </c>
      <c r="AG92" s="45">
        <v>180</v>
      </c>
    </row>
    <row r="93" spans="3:33" x14ac:dyDescent="0.25">
      <c r="C93" s="46" t="s">
        <v>221</v>
      </c>
      <c r="D93" s="48" t="s">
        <v>108</v>
      </c>
      <c r="E93" s="54" t="s">
        <v>222</v>
      </c>
      <c r="F93" s="49">
        <v>1.3925999999999999E-2</v>
      </c>
      <c r="G93" s="38">
        <v>1</v>
      </c>
      <c r="H93" s="39"/>
      <c r="I93" s="39"/>
      <c r="J93" s="39"/>
      <c r="K93" s="40"/>
      <c r="L93" s="41"/>
      <c r="M93" s="39"/>
      <c r="N93" s="39"/>
      <c r="O93" s="39"/>
      <c r="P93" s="42"/>
      <c r="Q93" s="43"/>
      <c r="R93" s="39"/>
      <c r="S93" s="39"/>
      <c r="T93" s="39"/>
      <c r="U93" s="40"/>
      <c r="V93" s="41"/>
      <c r="W93" s="39"/>
      <c r="X93" s="39"/>
      <c r="Y93" s="39"/>
      <c r="Z93" s="42"/>
      <c r="AA93" s="43"/>
      <c r="AB93" s="39"/>
      <c r="AC93" s="39"/>
      <c r="AD93" s="39"/>
      <c r="AE93" s="42"/>
      <c r="AF93" s="44"/>
      <c r="AG93" s="45"/>
    </row>
    <row r="94" spans="3:33" x14ac:dyDescent="0.25">
      <c r="C94" s="46" t="s">
        <v>223</v>
      </c>
      <c r="D94" s="48" t="s">
        <v>108</v>
      </c>
      <c r="E94" s="48" t="s">
        <v>224</v>
      </c>
      <c r="F94" s="49">
        <v>1.2389000000000001E-2</v>
      </c>
      <c r="G94" s="38">
        <v>1</v>
      </c>
      <c r="H94" s="39"/>
      <c r="I94" s="39"/>
      <c r="J94" s="39"/>
      <c r="K94" s="40"/>
      <c r="L94" s="41"/>
      <c r="M94" s="39"/>
      <c r="N94" s="39"/>
      <c r="O94" s="39"/>
      <c r="P94" s="42"/>
      <c r="Q94" s="43"/>
      <c r="R94" s="39"/>
      <c r="S94" s="39"/>
      <c r="T94" s="39"/>
      <c r="U94" s="40"/>
      <c r="V94" s="41"/>
      <c r="W94" s="39"/>
      <c r="X94" s="39"/>
      <c r="Y94" s="39"/>
      <c r="Z94" s="42"/>
      <c r="AA94" s="43"/>
      <c r="AB94" s="39"/>
      <c r="AC94" s="39"/>
      <c r="AD94" s="39"/>
      <c r="AE94" s="42"/>
      <c r="AF94" s="44">
        <v>0</v>
      </c>
      <c r="AG94" s="45">
        <v>250</v>
      </c>
    </row>
    <row r="95" spans="3:33" x14ac:dyDescent="0.25">
      <c r="C95" s="46" t="s">
        <v>225</v>
      </c>
      <c r="D95" s="48" t="s">
        <v>108</v>
      </c>
      <c r="E95" s="48" t="s">
        <v>226</v>
      </c>
      <c r="F95" s="49">
        <v>3.8639999999999998E-3</v>
      </c>
      <c r="G95" s="38">
        <v>1</v>
      </c>
      <c r="H95" s="39"/>
      <c r="I95" s="39"/>
      <c r="J95" s="39"/>
      <c r="K95" s="40"/>
      <c r="L95" s="41"/>
      <c r="M95" s="39"/>
      <c r="N95" s="39"/>
      <c r="O95" s="39"/>
      <c r="P95" s="42"/>
      <c r="Q95" s="43"/>
      <c r="R95" s="39"/>
      <c r="S95" s="39"/>
      <c r="T95" s="39"/>
      <c r="U95" s="40"/>
      <c r="V95" s="41"/>
      <c r="W95" s="39"/>
      <c r="X95" s="39"/>
      <c r="Y95" s="39"/>
      <c r="Z95" s="42"/>
      <c r="AA95" s="43"/>
      <c r="AB95" s="39"/>
      <c r="AC95" s="39"/>
      <c r="AD95" s="39"/>
      <c r="AE95" s="42"/>
      <c r="AF95" s="44">
        <v>25</v>
      </c>
      <c r="AG95" s="45">
        <v>240</v>
      </c>
    </row>
    <row r="96" spans="3:33" x14ac:dyDescent="0.25">
      <c r="C96" s="46" t="s">
        <v>227</v>
      </c>
      <c r="D96" s="48" t="s">
        <v>108</v>
      </c>
      <c r="E96" s="48" t="s">
        <v>228</v>
      </c>
      <c r="F96" s="49">
        <v>2.6310000000000001E-3</v>
      </c>
      <c r="G96" s="38">
        <v>1</v>
      </c>
      <c r="H96" s="39">
        <v>0.14899999999999999</v>
      </c>
      <c r="I96" s="39"/>
      <c r="J96" s="39"/>
      <c r="K96" s="40"/>
      <c r="L96" s="41"/>
      <c r="M96" s="39"/>
      <c r="N96" s="39"/>
      <c r="O96" s="39"/>
      <c r="P96" s="42"/>
      <c r="Q96" s="43"/>
      <c r="R96" s="39"/>
      <c r="S96" s="39"/>
      <c r="T96" s="39"/>
      <c r="U96" s="40"/>
      <c r="V96" s="41"/>
      <c r="W96" s="39"/>
      <c r="X96" s="39"/>
      <c r="Y96" s="39"/>
      <c r="Z96" s="42"/>
      <c r="AA96" s="43"/>
      <c r="AB96" s="39"/>
      <c r="AC96" s="39"/>
      <c r="AD96" s="39"/>
      <c r="AE96" s="42"/>
      <c r="AF96" s="44">
        <v>65</v>
      </c>
      <c r="AG96" s="45">
        <v>140</v>
      </c>
    </row>
    <row r="97" spans="2:33" x14ac:dyDescent="0.25">
      <c r="C97" s="46" t="s">
        <v>229</v>
      </c>
      <c r="D97" s="48" t="s">
        <v>44</v>
      </c>
      <c r="E97" s="54" t="s">
        <v>230</v>
      </c>
      <c r="F97" s="49">
        <v>0</v>
      </c>
      <c r="G97" s="38">
        <v>1</v>
      </c>
      <c r="H97" s="39"/>
      <c r="I97" s="39"/>
      <c r="J97" s="39"/>
      <c r="K97" s="40"/>
      <c r="L97" s="41"/>
      <c r="M97" s="39"/>
      <c r="N97" s="39"/>
      <c r="O97" s="39"/>
      <c r="P97" s="42"/>
      <c r="Q97" s="43"/>
      <c r="R97" s="39"/>
      <c r="S97" s="39"/>
      <c r="T97" s="39"/>
      <c r="U97" s="40"/>
      <c r="V97" s="41"/>
      <c r="W97" s="39"/>
      <c r="X97" s="39"/>
      <c r="Y97" s="39"/>
      <c r="Z97" s="42"/>
      <c r="AA97" s="43"/>
      <c r="AB97" s="39"/>
      <c r="AC97" s="39"/>
      <c r="AD97" s="39"/>
      <c r="AE97" s="42"/>
      <c r="AF97" s="44"/>
      <c r="AG97" s="45"/>
    </row>
    <row r="98" spans="2:33" x14ac:dyDescent="0.25">
      <c r="C98" s="46" t="s">
        <v>231</v>
      </c>
      <c r="D98" s="48" t="s">
        <v>232</v>
      </c>
      <c r="E98" s="54" t="s">
        <v>233</v>
      </c>
      <c r="F98" s="49">
        <v>0</v>
      </c>
      <c r="G98" s="38">
        <v>1</v>
      </c>
      <c r="H98" s="39"/>
      <c r="I98" s="39"/>
      <c r="J98" s="39"/>
      <c r="K98" s="40"/>
      <c r="L98" s="41"/>
      <c r="M98" s="39"/>
      <c r="N98" s="39"/>
      <c r="O98" s="39"/>
      <c r="P98" s="42"/>
      <c r="Q98" s="43"/>
      <c r="R98" s="39"/>
      <c r="S98" s="39"/>
      <c r="T98" s="39"/>
      <c r="U98" s="40"/>
      <c r="V98" s="41"/>
      <c r="W98" s="39"/>
      <c r="X98" s="39"/>
      <c r="Y98" s="39"/>
      <c r="Z98" s="42"/>
      <c r="AA98" s="43"/>
      <c r="AB98" s="39"/>
      <c r="AC98" s="39"/>
      <c r="AD98" s="39"/>
      <c r="AE98" s="42"/>
      <c r="AF98" s="44"/>
      <c r="AG98" s="45"/>
    </row>
    <row r="99" spans="2:33" ht="12.6" thickBot="1" x14ac:dyDescent="0.3">
      <c r="C99" s="50"/>
      <c r="D99" s="59" t="s">
        <v>234</v>
      </c>
      <c r="E99" s="59"/>
      <c r="F99" s="56"/>
      <c r="G99" s="60"/>
      <c r="H99" s="61"/>
      <c r="I99" s="61"/>
      <c r="J99" s="61"/>
      <c r="K99" s="62"/>
      <c r="L99" s="41"/>
      <c r="M99" s="39"/>
      <c r="N99" s="39"/>
      <c r="O99" s="39"/>
      <c r="P99" s="42"/>
      <c r="Q99" s="63"/>
      <c r="R99" s="61"/>
      <c r="S99" s="61"/>
      <c r="T99" s="61"/>
      <c r="U99" s="62"/>
      <c r="V99" s="41"/>
      <c r="W99" s="39"/>
      <c r="X99" s="39"/>
      <c r="Y99" s="39"/>
      <c r="Z99" s="42"/>
      <c r="AA99" s="63"/>
      <c r="AB99" s="61"/>
      <c r="AC99" s="61"/>
      <c r="AD99" s="61"/>
      <c r="AE99" s="64"/>
      <c r="AF99" s="65"/>
      <c r="AG99" s="66"/>
    </row>
    <row r="100" spans="2:33" x14ac:dyDescent="0.25">
      <c r="C100" s="67"/>
    </row>
    <row r="102" spans="2:33" x14ac:dyDescent="0.25">
      <c r="I102" s="34"/>
    </row>
    <row r="103" spans="2:33" x14ac:dyDescent="0.25">
      <c r="I103" s="34"/>
    </row>
    <row r="104" spans="2:33" x14ac:dyDescent="0.25">
      <c r="I104" s="34"/>
    </row>
    <row r="105" spans="2:33" x14ac:dyDescent="0.25">
      <c r="I105" s="34"/>
      <c r="K105" s="34"/>
    </row>
    <row r="106" spans="2:33" x14ac:dyDescent="0.25">
      <c r="I106" s="34"/>
    </row>
    <row r="107" spans="2:33" x14ac:dyDescent="0.25">
      <c r="C107" s="69" t="s">
        <v>235</v>
      </c>
      <c r="I107" s="34"/>
    </row>
    <row r="109" spans="2:33" x14ac:dyDescent="0.25">
      <c r="I109" s="34"/>
    </row>
    <row r="110" spans="2:33" x14ac:dyDescent="0.25">
      <c r="C110" s="46" t="s">
        <v>236</v>
      </c>
      <c r="D110" s="48" t="s">
        <v>237</v>
      </c>
      <c r="E110" s="48" t="s">
        <v>238</v>
      </c>
      <c r="F110" s="70">
        <v>65.592516000000003</v>
      </c>
      <c r="G110" s="71">
        <v>1</v>
      </c>
    </row>
    <row r="111" spans="2:33" x14ac:dyDescent="0.25">
      <c r="C111" s="46" t="s">
        <v>239</v>
      </c>
      <c r="D111" s="48" t="s">
        <v>237</v>
      </c>
      <c r="E111" s="48" t="s">
        <v>240</v>
      </c>
      <c r="F111" s="70">
        <v>63.271146999999999</v>
      </c>
      <c r="G111" s="71">
        <v>1</v>
      </c>
    </row>
    <row r="112" spans="2:33" x14ac:dyDescent="0.25">
      <c r="C112" s="46" t="s">
        <v>241</v>
      </c>
      <c r="D112" s="48" t="s">
        <v>237</v>
      </c>
      <c r="E112" s="48" t="s">
        <v>242</v>
      </c>
      <c r="F112" s="70">
        <v>55.925825000000003</v>
      </c>
      <c r="G112" s="71">
        <v>1</v>
      </c>
    </row>
    <row r="113" spans="3:7" x14ac:dyDescent="0.25">
      <c r="C113" s="46" t="s">
        <v>243</v>
      </c>
      <c r="D113" s="48" t="s">
        <v>237</v>
      </c>
      <c r="E113" s="48" t="s">
        <v>244</v>
      </c>
      <c r="F113" s="70">
        <v>54.160291999999998</v>
      </c>
      <c r="G113" s="71">
        <v>1</v>
      </c>
    </row>
    <row r="114" spans="3:7" x14ac:dyDescent="0.25">
      <c r="C114" s="46" t="s">
        <v>245</v>
      </c>
      <c r="D114" s="48" t="s">
        <v>237</v>
      </c>
      <c r="E114" s="48" t="s">
        <v>246</v>
      </c>
      <c r="F114" s="70">
        <v>51.368450000000003</v>
      </c>
      <c r="G114" s="71">
        <v>1</v>
      </c>
    </row>
    <row r="115" spans="3:7" x14ac:dyDescent="0.25">
      <c r="C115" s="46" t="s">
        <v>247</v>
      </c>
      <c r="D115" s="48" t="s">
        <v>237</v>
      </c>
      <c r="E115" s="48" t="s">
        <v>248</v>
      </c>
      <c r="F115" s="70">
        <v>48.667110000000001</v>
      </c>
      <c r="G115" s="71">
        <v>1</v>
      </c>
    </row>
    <row r="116" spans="3:7" x14ac:dyDescent="0.25">
      <c r="C116" s="46" t="s">
        <v>249</v>
      </c>
      <c r="D116" s="48" t="s">
        <v>237</v>
      </c>
      <c r="E116" s="48" t="s">
        <v>250</v>
      </c>
      <c r="F116" s="70">
        <v>45.115130000000001</v>
      </c>
      <c r="G116" s="71">
        <v>1</v>
      </c>
    </row>
    <row r="117" spans="3:7" x14ac:dyDescent="0.25">
      <c r="C117" s="46" t="s">
        <v>251</v>
      </c>
      <c r="D117" s="48" t="s">
        <v>237</v>
      </c>
      <c r="E117" s="48" t="s">
        <v>252</v>
      </c>
      <c r="F117" s="70">
        <v>42.515816000000001</v>
      </c>
      <c r="G117" s="71">
        <v>1</v>
      </c>
    </row>
    <row r="118" spans="3:7" x14ac:dyDescent="0.25">
      <c r="C118" s="46" t="s">
        <v>253</v>
      </c>
      <c r="D118" s="48" t="s">
        <v>237</v>
      </c>
      <c r="E118" s="48" t="s">
        <v>254</v>
      </c>
      <c r="F118" s="70">
        <v>38.072727</v>
      </c>
      <c r="G118" s="71">
        <v>1</v>
      </c>
    </row>
    <row r="119" spans="3:7" x14ac:dyDescent="0.25">
      <c r="C119" s="46" t="s">
        <v>255</v>
      </c>
      <c r="D119" s="48" t="s">
        <v>237</v>
      </c>
      <c r="E119" s="48" t="s">
        <v>256</v>
      </c>
      <c r="F119" s="70">
        <v>38.059466999999998</v>
      </c>
      <c r="G119" s="71">
        <v>1</v>
      </c>
    </row>
    <row r="120" spans="3:7" x14ac:dyDescent="0.25">
      <c r="C120" s="46" t="s">
        <v>257</v>
      </c>
      <c r="D120" s="48" t="s">
        <v>237</v>
      </c>
      <c r="E120" s="48" t="s">
        <v>258</v>
      </c>
      <c r="F120" s="70">
        <v>37.742260000000002</v>
      </c>
      <c r="G120" s="71">
        <v>1</v>
      </c>
    </row>
    <row r="121" spans="3:7" x14ac:dyDescent="0.25">
      <c r="C121" s="46" t="s">
        <v>259</v>
      </c>
      <c r="D121" s="48" t="s">
        <v>237</v>
      </c>
      <c r="E121" s="48" t="s">
        <v>260</v>
      </c>
      <c r="F121" s="70">
        <v>35.585102999999997</v>
      </c>
      <c r="G121" s="71">
        <v>1</v>
      </c>
    </row>
    <row r="122" spans="3:7" x14ac:dyDescent="0.25">
      <c r="C122" s="46" t="s">
        <v>261</v>
      </c>
      <c r="D122" s="48" t="s">
        <v>237</v>
      </c>
      <c r="E122" s="48" t="s">
        <v>262</v>
      </c>
      <c r="F122" s="70">
        <v>35.351768</v>
      </c>
      <c r="G122" s="71">
        <v>1</v>
      </c>
    </row>
    <row r="123" spans="3:7" x14ac:dyDescent="0.25">
      <c r="C123" s="46" t="s">
        <v>263</v>
      </c>
      <c r="D123" s="48" t="s">
        <v>237</v>
      </c>
      <c r="E123" s="48" t="s">
        <v>264</v>
      </c>
      <c r="F123" s="70">
        <v>35.040218000000003</v>
      </c>
      <c r="G123" s="71">
        <v>1</v>
      </c>
    </row>
    <row r="124" spans="3:7" x14ac:dyDescent="0.25">
      <c r="C124" s="46" t="s">
        <v>265</v>
      </c>
      <c r="D124" s="48" t="s">
        <v>237</v>
      </c>
      <c r="E124" s="48" t="s">
        <v>266</v>
      </c>
      <c r="F124" s="70">
        <v>34.949649000000001</v>
      </c>
      <c r="G124" s="71">
        <v>1</v>
      </c>
    </row>
    <row r="125" spans="3:7" x14ac:dyDescent="0.25">
      <c r="C125" s="46" t="s">
        <v>267</v>
      </c>
      <c r="D125" s="48" t="s">
        <v>237</v>
      </c>
      <c r="E125" s="48" t="s">
        <v>268</v>
      </c>
      <c r="F125" s="70">
        <v>32.982624999999999</v>
      </c>
      <c r="G125" s="71">
        <v>1</v>
      </c>
    </row>
    <row r="126" spans="3:7" x14ac:dyDescent="0.25">
      <c r="C126" s="46" t="s">
        <v>269</v>
      </c>
      <c r="D126" s="48" t="s">
        <v>237</v>
      </c>
      <c r="E126" s="48" t="s">
        <v>270</v>
      </c>
      <c r="F126" s="70">
        <v>32.413395000000001</v>
      </c>
      <c r="G126" s="71">
        <v>1</v>
      </c>
    </row>
    <row r="127" spans="3:7" x14ac:dyDescent="0.25">
      <c r="C127" s="46" t="s">
        <v>271</v>
      </c>
      <c r="D127" s="48" t="s">
        <v>237</v>
      </c>
      <c r="E127" s="48" t="s">
        <v>272</v>
      </c>
      <c r="F127" s="70">
        <v>32.185184999999997</v>
      </c>
      <c r="G127" s="71">
        <v>1</v>
      </c>
    </row>
    <row r="128" spans="3:7" x14ac:dyDescent="0.25">
      <c r="C128" s="46" t="s">
        <v>273</v>
      </c>
      <c r="D128" s="48" t="s">
        <v>237</v>
      </c>
      <c r="E128" s="48" t="s">
        <v>274</v>
      </c>
      <c r="F128" s="70">
        <v>31.940569</v>
      </c>
      <c r="G128" s="71">
        <v>1</v>
      </c>
    </row>
    <row r="129" spans="3:7" x14ac:dyDescent="0.25">
      <c r="C129" s="46" t="s">
        <v>275</v>
      </c>
      <c r="D129" s="48" t="s">
        <v>237</v>
      </c>
      <c r="E129" s="48" t="s">
        <v>276</v>
      </c>
      <c r="F129" s="70">
        <v>31.877482000000001</v>
      </c>
      <c r="G129" s="71">
        <v>1</v>
      </c>
    </row>
    <row r="130" spans="3:7" x14ac:dyDescent="0.25">
      <c r="C130" s="46" t="s">
        <v>277</v>
      </c>
      <c r="D130" s="48" t="s">
        <v>237</v>
      </c>
      <c r="E130" s="48" t="s">
        <v>278</v>
      </c>
      <c r="F130" s="70">
        <v>31.486094999999999</v>
      </c>
      <c r="G130" s="71">
        <v>1</v>
      </c>
    </row>
    <row r="131" spans="3:7" x14ac:dyDescent="0.25">
      <c r="C131" s="46" t="s">
        <v>279</v>
      </c>
      <c r="D131" s="48" t="s">
        <v>237</v>
      </c>
      <c r="E131" s="48" t="s">
        <v>280</v>
      </c>
      <c r="F131" s="70">
        <v>29.965805</v>
      </c>
      <c r="G131" s="71">
        <v>1</v>
      </c>
    </row>
    <row r="132" spans="3:7" x14ac:dyDescent="0.25">
      <c r="C132" s="46" t="s">
        <v>281</v>
      </c>
      <c r="D132" s="48" t="s">
        <v>237</v>
      </c>
      <c r="E132" s="48" t="s">
        <v>282</v>
      </c>
      <c r="F132" s="70">
        <v>29.954177999999999</v>
      </c>
      <c r="G132" s="71">
        <v>1</v>
      </c>
    </row>
    <row r="133" spans="3:7" x14ac:dyDescent="0.25">
      <c r="C133" s="46" t="s">
        <v>283</v>
      </c>
      <c r="D133" s="48" t="s">
        <v>237</v>
      </c>
      <c r="E133" s="48" t="s">
        <v>284</v>
      </c>
      <c r="F133" s="70">
        <v>29.687114999999999</v>
      </c>
      <c r="G133" s="71">
        <v>1</v>
      </c>
    </row>
    <row r="134" spans="3:7" x14ac:dyDescent="0.25">
      <c r="C134" s="46" t="s">
        <v>285</v>
      </c>
      <c r="D134" s="48" t="s">
        <v>237</v>
      </c>
      <c r="E134" s="48" t="s">
        <v>286</v>
      </c>
      <c r="F134" s="70">
        <v>28.736982000000001</v>
      </c>
      <c r="G134" s="71">
        <v>1</v>
      </c>
    </row>
    <row r="135" spans="3:7" x14ac:dyDescent="0.25">
      <c r="C135" s="46" t="s">
        <v>287</v>
      </c>
      <c r="D135" s="48" t="s">
        <v>237</v>
      </c>
      <c r="E135" s="48" t="s">
        <v>288</v>
      </c>
      <c r="F135" s="70">
        <v>28.492152999999998</v>
      </c>
      <c r="G135" s="71">
        <v>1</v>
      </c>
    </row>
    <row r="136" spans="3:7" x14ac:dyDescent="0.25">
      <c r="C136" s="46" t="s">
        <v>289</v>
      </c>
      <c r="D136" s="48" t="s">
        <v>237</v>
      </c>
      <c r="E136" s="48" t="s">
        <v>290</v>
      </c>
      <c r="F136" s="70">
        <v>28.410404</v>
      </c>
      <c r="G136" s="71">
        <v>1</v>
      </c>
    </row>
    <row r="137" spans="3:7" x14ac:dyDescent="0.25">
      <c r="C137" s="46" t="s">
        <v>291</v>
      </c>
      <c r="D137" s="48" t="s">
        <v>237</v>
      </c>
      <c r="E137" s="48" t="s">
        <v>292</v>
      </c>
      <c r="F137" s="70">
        <v>28.136555000000001</v>
      </c>
      <c r="G137" s="71">
        <v>1</v>
      </c>
    </row>
    <row r="138" spans="3:7" x14ac:dyDescent="0.25">
      <c r="C138" s="46" t="s">
        <v>293</v>
      </c>
      <c r="D138" s="48" t="s">
        <v>237</v>
      </c>
      <c r="E138" s="48" t="s">
        <v>294</v>
      </c>
      <c r="F138" s="70">
        <v>27.965734000000001</v>
      </c>
      <c r="G138" s="71">
        <v>1</v>
      </c>
    </row>
    <row r="139" spans="3:7" x14ac:dyDescent="0.25">
      <c r="C139" s="46" t="s">
        <v>295</v>
      </c>
      <c r="D139" s="48" t="s">
        <v>237</v>
      </c>
      <c r="E139" s="48" t="s">
        <v>296</v>
      </c>
      <c r="F139" s="70">
        <v>27.951947000000001</v>
      </c>
      <c r="G139" s="71">
        <v>1</v>
      </c>
    </row>
    <row r="140" spans="3:7" x14ac:dyDescent="0.25">
      <c r="C140" s="46" t="s">
        <v>297</v>
      </c>
      <c r="D140" s="48" t="s">
        <v>237</v>
      </c>
      <c r="E140" s="48" t="s">
        <v>298</v>
      </c>
      <c r="F140" s="70">
        <v>27.572123000000001</v>
      </c>
      <c r="G140" s="71">
        <v>1</v>
      </c>
    </row>
    <row r="141" spans="3:7" x14ac:dyDescent="0.25">
      <c r="C141" s="46" t="s">
        <v>299</v>
      </c>
      <c r="D141" s="48" t="s">
        <v>237</v>
      </c>
      <c r="E141" s="48" t="s">
        <v>300</v>
      </c>
      <c r="F141" s="70">
        <v>27.262125000000001</v>
      </c>
      <c r="G141" s="71">
        <v>1</v>
      </c>
    </row>
    <row r="142" spans="3:7" x14ac:dyDescent="0.25">
      <c r="C142" s="46" t="s">
        <v>301</v>
      </c>
      <c r="D142" s="48" t="s">
        <v>237</v>
      </c>
      <c r="E142" s="48" t="s">
        <v>302</v>
      </c>
      <c r="F142" s="70">
        <v>27.230899999999998</v>
      </c>
      <c r="G142" s="71">
        <v>1</v>
      </c>
    </row>
    <row r="143" spans="3:7" x14ac:dyDescent="0.25">
      <c r="C143" s="46" t="s">
        <v>303</v>
      </c>
      <c r="D143" s="48" t="s">
        <v>237</v>
      </c>
      <c r="E143" s="48" t="s">
        <v>304</v>
      </c>
      <c r="F143" s="70">
        <v>25.350594000000001</v>
      </c>
      <c r="G143" s="71">
        <v>1</v>
      </c>
    </row>
    <row r="144" spans="3:7" x14ac:dyDescent="0.25">
      <c r="C144" s="46" t="s">
        <v>305</v>
      </c>
      <c r="D144" s="48" t="s">
        <v>237</v>
      </c>
      <c r="E144" s="48" t="s">
        <v>306</v>
      </c>
      <c r="F144" s="70">
        <v>25.321103000000001</v>
      </c>
      <c r="G144" s="71">
        <v>1</v>
      </c>
    </row>
    <row r="145" spans="3:7" x14ac:dyDescent="0.25">
      <c r="C145" s="46" t="s">
        <v>307</v>
      </c>
      <c r="D145" s="48" t="s">
        <v>237</v>
      </c>
      <c r="E145" s="48" t="s">
        <v>308</v>
      </c>
      <c r="F145" s="70">
        <v>25.100411999999999</v>
      </c>
      <c r="G145" s="71">
        <v>1</v>
      </c>
    </row>
    <row r="146" spans="3:7" x14ac:dyDescent="0.25">
      <c r="C146" s="46" t="s">
        <v>309</v>
      </c>
      <c r="D146" s="48" t="s">
        <v>237</v>
      </c>
      <c r="E146" s="48" t="s">
        <v>310</v>
      </c>
      <c r="F146" s="70">
        <v>24.65099</v>
      </c>
      <c r="G146" s="71">
        <v>1</v>
      </c>
    </row>
    <row r="147" spans="3:7" x14ac:dyDescent="0.25">
      <c r="C147" s="46" t="s">
        <v>311</v>
      </c>
      <c r="D147" s="48" t="s">
        <v>237</v>
      </c>
      <c r="E147" s="48" t="s">
        <v>312</v>
      </c>
      <c r="F147" s="70">
        <v>23.710519000000001</v>
      </c>
      <c r="G147" s="71">
        <v>1</v>
      </c>
    </row>
    <row r="148" spans="3:7" x14ac:dyDescent="0.25">
      <c r="C148" s="46" t="s">
        <v>313</v>
      </c>
      <c r="D148" s="48" t="s">
        <v>237</v>
      </c>
      <c r="E148" s="48" t="s">
        <v>314</v>
      </c>
      <c r="F148" s="70">
        <v>23.353418999999999</v>
      </c>
      <c r="G148" s="71">
        <v>1</v>
      </c>
    </row>
    <row r="149" spans="3:7" x14ac:dyDescent="0.25">
      <c r="C149" s="46" t="s">
        <v>315</v>
      </c>
      <c r="D149" s="48" t="s">
        <v>237</v>
      </c>
      <c r="E149" s="48" t="s">
        <v>316</v>
      </c>
      <c r="F149" s="70">
        <v>22.989583</v>
      </c>
      <c r="G149" s="71">
        <v>1</v>
      </c>
    </row>
    <row r="150" spans="3:7" x14ac:dyDescent="0.25">
      <c r="C150" s="46" t="s">
        <v>317</v>
      </c>
      <c r="D150" s="48" t="s">
        <v>237</v>
      </c>
      <c r="E150" s="48" t="s">
        <v>318</v>
      </c>
      <c r="F150" s="70">
        <v>22.881340999999999</v>
      </c>
      <c r="G150" s="71">
        <v>1</v>
      </c>
    </row>
    <row r="151" spans="3:7" x14ac:dyDescent="0.25">
      <c r="C151" s="46" t="s">
        <v>319</v>
      </c>
      <c r="D151" s="48" t="s">
        <v>237</v>
      </c>
      <c r="E151" s="48" t="s">
        <v>320</v>
      </c>
      <c r="F151" s="70">
        <v>22.282532</v>
      </c>
      <c r="G151" s="71">
        <v>1</v>
      </c>
    </row>
    <row r="152" spans="3:7" x14ac:dyDescent="0.25">
      <c r="C152" s="46" t="s">
        <v>321</v>
      </c>
      <c r="D152" s="48" t="s">
        <v>237</v>
      </c>
      <c r="E152" s="48" t="s">
        <v>322</v>
      </c>
      <c r="F152" s="70">
        <v>21.150221999999999</v>
      </c>
      <c r="G152" s="71">
        <v>1</v>
      </c>
    </row>
    <row r="153" spans="3:7" x14ac:dyDescent="0.25">
      <c r="C153" s="46" t="s">
        <v>323</v>
      </c>
      <c r="D153" s="48" t="s">
        <v>237</v>
      </c>
      <c r="E153" s="48" t="s">
        <v>324</v>
      </c>
      <c r="F153" s="70">
        <v>21.032912</v>
      </c>
      <c r="G153" s="71">
        <v>1</v>
      </c>
    </row>
    <row r="154" spans="3:7" x14ac:dyDescent="0.25">
      <c r="C154" s="46" t="s">
        <v>325</v>
      </c>
      <c r="D154" s="48" t="s">
        <v>237</v>
      </c>
      <c r="E154" s="48" t="s">
        <v>326</v>
      </c>
      <c r="F154" s="70">
        <v>20.817625</v>
      </c>
      <c r="G154" s="71">
        <v>1</v>
      </c>
    </row>
    <row r="155" spans="3:7" x14ac:dyDescent="0.25">
      <c r="C155" s="46" t="s">
        <v>327</v>
      </c>
      <c r="D155" s="48" t="s">
        <v>237</v>
      </c>
      <c r="E155" s="48" t="s">
        <v>328</v>
      </c>
      <c r="F155" s="70">
        <v>18.718008000000001</v>
      </c>
      <c r="G155" s="71">
        <v>1</v>
      </c>
    </row>
    <row r="156" spans="3:7" x14ac:dyDescent="0.25">
      <c r="C156" s="46" t="s">
        <v>329</v>
      </c>
      <c r="D156" s="48" t="s">
        <v>237</v>
      </c>
      <c r="E156" s="48" t="s">
        <v>330</v>
      </c>
      <c r="F156" s="70">
        <v>18.684974</v>
      </c>
      <c r="G156" s="71">
        <v>1</v>
      </c>
    </row>
    <row r="157" spans="3:7" x14ac:dyDescent="0.25">
      <c r="C157" s="46" t="s">
        <v>331</v>
      </c>
      <c r="D157" s="48" t="s">
        <v>237</v>
      </c>
      <c r="E157" s="48" t="s">
        <v>332</v>
      </c>
      <c r="F157" s="70">
        <v>17.425543000000001</v>
      </c>
      <c r="G157" s="71">
        <v>1</v>
      </c>
    </row>
    <row r="158" spans="3:7" x14ac:dyDescent="0.25">
      <c r="C158" s="46" t="s">
        <v>333</v>
      </c>
      <c r="D158" s="48" t="s">
        <v>237</v>
      </c>
      <c r="E158" s="48" t="s">
        <v>334</v>
      </c>
      <c r="F158" s="70">
        <v>16.496466999999999</v>
      </c>
      <c r="G158" s="71">
        <v>1</v>
      </c>
    </row>
    <row r="159" spans="3:7" x14ac:dyDescent="0.25">
      <c r="C159" s="46" t="s">
        <v>335</v>
      </c>
      <c r="D159" s="48" t="s">
        <v>237</v>
      </c>
      <c r="E159" s="48" t="s">
        <v>336</v>
      </c>
      <c r="F159" s="70">
        <v>13.27445</v>
      </c>
      <c r="G159" s="71">
        <v>1</v>
      </c>
    </row>
    <row r="160" spans="3:7" x14ac:dyDescent="0.25">
      <c r="C160" s="46" t="s">
        <v>337</v>
      </c>
      <c r="D160" s="48" t="s">
        <v>237</v>
      </c>
      <c r="E160" s="48" t="s">
        <v>338</v>
      </c>
      <c r="F160" s="70">
        <v>12.840707999999999</v>
      </c>
      <c r="G160" s="71">
        <v>2</v>
      </c>
    </row>
    <row r="161" spans="3:7" x14ac:dyDescent="0.25">
      <c r="C161" s="46" t="s">
        <v>339</v>
      </c>
      <c r="D161" s="48" t="s">
        <v>237</v>
      </c>
      <c r="E161" s="48" t="s">
        <v>340</v>
      </c>
      <c r="F161" s="70">
        <v>12.554436000000001</v>
      </c>
      <c r="G161" s="71">
        <v>3</v>
      </c>
    </row>
    <row r="162" spans="3:7" x14ac:dyDescent="0.25">
      <c r="C162" s="46" t="s">
        <v>341</v>
      </c>
      <c r="D162" s="48" t="s">
        <v>237</v>
      </c>
      <c r="E162" s="48" t="s">
        <v>342</v>
      </c>
      <c r="F162" s="70">
        <v>12.507841000000001</v>
      </c>
      <c r="G162" s="71">
        <v>4</v>
      </c>
    </row>
    <row r="163" spans="3:7" x14ac:dyDescent="0.25">
      <c r="C163" s="46" t="s">
        <v>343</v>
      </c>
      <c r="D163" s="48" t="s">
        <v>237</v>
      </c>
      <c r="E163" s="48" t="s">
        <v>344</v>
      </c>
      <c r="F163" s="70">
        <v>12.378773000000001</v>
      </c>
      <c r="G163" s="71">
        <v>5</v>
      </c>
    </row>
    <row r="164" spans="3:7" x14ac:dyDescent="0.25">
      <c r="C164" s="46" t="s">
        <v>345</v>
      </c>
      <c r="D164" s="48" t="s">
        <v>237</v>
      </c>
      <c r="E164" s="48" t="s">
        <v>346</v>
      </c>
      <c r="F164" s="70">
        <v>10.492635</v>
      </c>
      <c r="G164" s="71">
        <v>1</v>
      </c>
    </row>
    <row r="165" spans="3:7" x14ac:dyDescent="0.25">
      <c r="C165" s="46" t="s">
        <v>347</v>
      </c>
      <c r="D165" s="48" t="s">
        <v>237</v>
      </c>
      <c r="E165" s="48" t="s">
        <v>348</v>
      </c>
      <c r="F165" s="70">
        <v>10.291150999999999</v>
      </c>
      <c r="G165" s="71">
        <v>1</v>
      </c>
    </row>
    <row r="166" spans="3:7" x14ac:dyDescent="0.25">
      <c r="C166" s="46" t="s">
        <v>349</v>
      </c>
      <c r="D166" s="48" t="s">
        <v>237</v>
      </c>
      <c r="E166" s="48" t="s">
        <v>350</v>
      </c>
      <c r="F166" s="70">
        <v>8.7321449999999992</v>
      </c>
      <c r="G166" s="71">
        <v>1</v>
      </c>
    </row>
    <row r="167" spans="3:7" x14ac:dyDescent="0.25">
      <c r="C167" s="46" t="s">
        <v>351</v>
      </c>
      <c r="D167" s="48" t="s">
        <v>237</v>
      </c>
      <c r="E167" s="48" t="s">
        <v>352</v>
      </c>
      <c r="F167" s="70">
        <v>8.2862720000000003</v>
      </c>
      <c r="G167" s="71">
        <v>1</v>
      </c>
    </row>
    <row r="168" spans="3:7" x14ac:dyDescent="0.25">
      <c r="C168" s="46" t="s">
        <v>353</v>
      </c>
      <c r="D168" s="48" t="s">
        <v>237</v>
      </c>
      <c r="E168" s="48" t="s">
        <v>354</v>
      </c>
      <c r="F168" s="70">
        <v>7.8842939999999997</v>
      </c>
      <c r="G168" s="71">
        <v>1</v>
      </c>
    </row>
    <row r="169" spans="3:7" x14ac:dyDescent="0.25">
      <c r="C169" s="46" t="s">
        <v>355</v>
      </c>
      <c r="D169" s="48" t="s">
        <v>237</v>
      </c>
      <c r="E169" s="48" t="s">
        <v>356</v>
      </c>
      <c r="F169" s="70">
        <v>7.6558159999999997</v>
      </c>
      <c r="G169" s="71">
        <v>1</v>
      </c>
    </row>
    <row r="170" spans="3:7" ht="19.95" customHeight="1" x14ac:dyDescent="0.25">
      <c r="C170" s="46" t="s">
        <v>357</v>
      </c>
      <c r="D170" s="48" t="s">
        <v>237</v>
      </c>
      <c r="E170" s="48" t="s">
        <v>358</v>
      </c>
      <c r="F170" s="70">
        <v>7.3372080000000004</v>
      </c>
      <c r="G170" s="71">
        <v>2</v>
      </c>
    </row>
    <row r="171" spans="3:7" x14ac:dyDescent="0.25">
      <c r="C171" s="46" t="s">
        <v>359</v>
      </c>
      <c r="D171" s="48" t="s">
        <v>237</v>
      </c>
      <c r="E171" s="48" t="s">
        <v>360</v>
      </c>
      <c r="F171" s="70">
        <v>6.3408759999999997</v>
      </c>
      <c r="G171" s="71">
        <v>1</v>
      </c>
    </row>
    <row r="172" spans="3:7" x14ac:dyDescent="0.25">
      <c r="C172" s="46" t="s">
        <v>361</v>
      </c>
      <c r="D172" s="48" t="s">
        <v>237</v>
      </c>
      <c r="E172" s="48" t="s">
        <v>362</v>
      </c>
      <c r="F172" s="70">
        <v>5.9017520000000001</v>
      </c>
      <c r="G172" s="71">
        <v>1</v>
      </c>
    </row>
    <row r="173" spans="3:7" x14ac:dyDescent="0.25">
      <c r="C173" s="46" t="s">
        <v>363</v>
      </c>
      <c r="D173" s="48" t="s">
        <v>237</v>
      </c>
      <c r="E173" s="48" t="s">
        <v>364</v>
      </c>
      <c r="F173" s="70">
        <v>4.4476690000000003</v>
      </c>
      <c r="G173" s="71">
        <v>1</v>
      </c>
    </row>
    <row r="174" spans="3:7" x14ac:dyDescent="0.25">
      <c r="C174" s="46" t="s">
        <v>365</v>
      </c>
      <c r="D174" s="48" t="s">
        <v>237</v>
      </c>
      <c r="E174" s="48" t="s">
        <v>366</v>
      </c>
      <c r="F174" s="70">
        <v>4</v>
      </c>
      <c r="G174" s="71">
        <v>1</v>
      </c>
    </row>
    <row r="175" spans="3:7" x14ac:dyDescent="0.25">
      <c r="C175" s="46" t="s">
        <v>367</v>
      </c>
      <c r="D175" s="48" t="s">
        <v>237</v>
      </c>
      <c r="E175" s="48" t="s">
        <v>368</v>
      </c>
      <c r="F175" s="70">
        <v>2.7373349999999999</v>
      </c>
      <c r="G175" s="71">
        <v>1</v>
      </c>
    </row>
    <row r="176" spans="3:7" x14ac:dyDescent="0.25">
      <c r="C176" s="46" t="s">
        <v>369</v>
      </c>
      <c r="D176" s="48" t="s">
        <v>237</v>
      </c>
      <c r="E176" s="48" t="s">
        <v>370</v>
      </c>
      <c r="F176" s="70">
        <v>1.1534880000000001</v>
      </c>
      <c r="G176" s="71">
        <v>1</v>
      </c>
    </row>
    <row r="177" spans="3:31" x14ac:dyDescent="0.25">
      <c r="C177" s="46" t="s">
        <v>371</v>
      </c>
      <c r="D177" s="48" t="s">
        <v>237</v>
      </c>
      <c r="E177" s="48" t="s">
        <v>372</v>
      </c>
      <c r="F177" s="70">
        <v>2.8372000000000001E-2</v>
      </c>
      <c r="G177" s="71">
        <v>1</v>
      </c>
    </row>
    <row r="178" spans="3:31" x14ac:dyDescent="0.25">
      <c r="C178" s="46" t="s">
        <v>373</v>
      </c>
      <c r="D178" s="48" t="s">
        <v>237</v>
      </c>
      <c r="E178" s="48" t="s">
        <v>374</v>
      </c>
      <c r="F178" s="70">
        <v>5.3020000000000003E-3</v>
      </c>
      <c r="G178" s="71">
        <v>1</v>
      </c>
    </row>
    <row r="179" spans="3:31" x14ac:dyDescent="0.25">
      <c r="C179" s="46" t="s">
        <v>375</v>
      </c>
      <c r="D179" s="48" t="s">
        <v>237</v>
      </c>
      <c r="E179" s="48" t="s">
        <v>376</v>
      </c>
      <c r="F179" s="70">
        <v>0</v>
      </c>
      <c r="G179" s="71">
        <v>1</v>
      </c>
    </row>
    <row r="180" spans="3:31" x14ac:dyDescent="0.25">
      <c r="C180" s="46" t="s">
        <v>377</v>
      </c>
      <c r="D180" s="48" t="s">
        <v>237</v>
      </c>
      <c r="E180" s="72" t="s">
        <v>378</v>
      </c>
      <c r="F180" s="70">
        <v>0</v>
      </c>
      <c r="G180" s="71">
        <v>1</v>
      </c>
    </row>
    <row r="181" spans="3:31" x14ac:dyDescent="0.25">
      <c r="C181" s="46" t="s">
        <v>379</v>
      </c>
      <c r="D181" s="48" t="s">
        <v>237</v>
      </c>
      <c r="E181" s="72" t="s">
        <v>380</v>
      </c>
      <c r="F181" s="70">
        <v>0</v>
      </c>
      <c r="G181" s="71">
        <v>1</v>
      </c>
    </row>
    <row r="182" spans="3:31" x14ac:dyDescent="0.25">
      <c r="C182" s="46" t="s">
        <v>381</v>
      </c>
      <c r="D182" s="48" t="s">
        <v>237</v>
      </c>
      <c r="E182" s="72" t="s">
        <v>382</v>
      </c>
      <c r="F182" s="70">
        <v>0</v>
      </c>
      <c r="G182" s="71">
        <v>1</v>
      </c>
    </row>
    <row r="183" spans="3:31" x14ac:dyDescent="0.25">
      <c r="C183" s="46" t="s">
        <v>383</v>
      </c>
      <c r="D183" s="48" t="s">
        <v>237</v>
      </c>
      <c r="E183" s="72" t="s">
        <v>384</v>
      </c>
      <c r="F183" s="70">
        <v>0</v>
      </c>
      <c r="G183" s="71">
        <v>1</v>
      </c>
    </row>
    <row r="184" spans="3:31" x14ac:dyDescent="0.25">
      <c r="C184" s="46" t="s">
        <v>385</v>
      </c>
      <c r="D184" s="48" t="s">
        <v>237</v>
      </c>
      <c r="E184" s="72" t="s">
        <v>386</v>
      </c>
      <c r="F184" s="70">
        <v>0</v>
      </c>
      <c r="G184" s="71">
        <v>1</v>
      </c>
    </row>
    <row r="185" spans="3:31" x14ac:dyDescent="0.25">
      <c r="C185" s="46" t="s">
        <v>231</v>
      </c>
      <c r="D185" s="48" t="s">
        <v>237</v>
      </c>
      <c r="E185" s="72" t="s">
        <v>387</v>
      </c>
      <c r="F185" s="70">
        <v>0</v>
      </c>
      <c r="G185" s="71">
        <v>1</v>
      </c>
    </row>
    <row r="186" spans="3:31" x14ac:dyDescent="0.25">
      <c r="C186" s="46" t="s">
        <v>388</v>
      </c>
      <c r="D186" s="48" t="s">
        <v>232</v>
      </c>
      <c r="E186" s="72" t="s">
        <v>389</v>
      </c>
      <c r="F186" s="70">
        <v>6.6911589999999999</v>
      </c>
      <c r="G186" s="71">
        <v>1</v>
      </c>
    </row>
    <row r="187" spans="3:31" x14ac:dyDescent="0.25">
      <c r="C187" s="46" t="s">
        <v>390</v>
      </c>
      <c r="D187" s="48" t="s">
        <v>44</v>
      </c>
      <c r="E187" s="72" t="s">
        <v>391</v>
      </c>
      <c r="F187" s="70">
        <v>0</v>
      </c>
      <c r="G187" s="71">
        <v>1</v>
      </c>
    </row>
    <row r="188" spans="3:31" x14ac:dyDescent="0.25">
      <c r="C188" s="46" t="s">
        <v>392</v>
      </c>
      <c r="D188" s="48" t="s">
        <v>44</v>
      </c>
      <c r="E188" s="72" t="s">
        <v>393</v>
      </c>
      <c r="F188" s="70">
        <v>0</v>
      </c>
      <c r="G188" s="71">
        <v>1</v>
      </c>
    </row>
    <row r="189" spans="3:31" x14ac:dyDescent="0.25">
      <c r="C189" s="46" t="s">
        <v>394</v>
      </c>
      <c r="D189" s="48" t="s">
        <v>44</v>
      </c>
      <c r="E189" s="72" t="s">
        <v>395</v>
      </c>
      <c r="F189" s="70">
        <v>0</v>
      </c>
      <c r="G189" s="71">
        <v>1</v>
      </c>
    </row>
    <row r="190" spans="3:31" x14ac:dyDescent="0.25">
      <c r="C190" s="46" t="s">
        <v>396</v>
      </c>
      <c r="D190" s="48" t="s">
        <v>44</v>
      </c>
      <c r="E190" s="72" t="s">
        <v>397</v>
      </c>
      <c r="F190" s="70">
        <v>0</v>
      </c>
      <c r="G190" s="71">
        <v>1</v>
      </c>
    </row>
    <row r="191" spans="3:31" x14ac:dyDescent="0.25">
      <c r="C191" s="46" t="s">
        <v>398</v>
      </c>
      <c r="D191" s="48" t="s">
        <v>108</v>
      </c>
      <c r="E191" s="72" t="s">
        <v>399</v>
      </c>
      <c r="F191" s="70">
        <v>0</v>
      </c>
      <c r="G191" s="71">
        <v>1</v>
      </c>
    </row>
    <row r="192" spans="3:31" x14ac:dyDescent="0.25">
      <c r="C192" s="46" t="s">
        <v>400</v>
      </c>
      <c r="D192" s="48" t="s">
        <v>44</v>
      </c>
      <c r="E192" s="72" t="s">
        <v>401</v>
      </c>
      <c r="F192" s="70">
        <v>0.15557099999999999</v>
      </c>
      <c r="G192" s="71">
        <v>1</v>
      </c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</row>
  </sheetData>
  <mergeCells count="7">
    <mergeCell ref="AB5:AE5"/>
    <mergeCell ref="C2:E2"/>
    <mergeCell ref="C3:E4"/>
    <mergeCell ref="H5:K5"/>
    <mergeCell ref="M5:P5"/>
    <mergeCell ref="R5:U5"/>
    <mergeCell ref="W5:Z5"/>
  </mergeCells>
  <conditionalFormatting sqref="G7:AE99">
    <cfRule type="cellIs" dxfId="3" priority="1" operator="equal">
      <formula>""""""</formula>
    </cfRule>
    <cfRule type="cellIs" dxfId="2" priority="2" operator="greaterThan">
      <formula>0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4F013-C97D-45F0-AC83-B235F4D3537E}">
  <dimension ref="A1:BQ180"/>
  <sheetViews>
    <sheetView topLeftCell="AQ1" workbookViewId="0">
      <selection activeCell="BE9" sqref="BE9"/>
    </sheetView>
  </sheetViews>
  <sheetFormatPr defaultRowHeight="14.4" x14ac:dyDescent="0.3"/>
  <cols>
    <col min="1" max="1" width="44.109375" customWidth="1"/>
    <col min="2" max="2" width="46.109375" customWidth="1"/>
    <col min="3" max="28" width="8.88671875" customWidth="1"/>
  </cols>
  <sheetData>
    <row r="1" spans="1:69" x14ac:dyDescent="0.3">
      <c r="A1" s="194" t="s">
        <v>8</v>
      </c>
      <c r="B1" s="191" t="s">
        <v>9</v>
      </c>
      <c r="C1" s="184">
        <v>2018</v>
      </c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184">
        <v>2019</v>
      </c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6"/>
      <c r="AC1" s="184">
        <v>2020</v>
      </c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6"/>
      <c r="AP1" s="184">
        <v>2021</v>
      </c>
      <c r="AQ1" s="185"/>
      <c r="AR1" s="185"/>
      <c r="AS1" s="185"/>
      <c r="AT1" s="185"/>
      <c r="AU1" s="185"/>
      <c r="AV1" s="185"/>
      <c r="AW1" s="185"/>
      <c r="AX1" s="185"/>
      <c r="AY1" s="185"/>
      <c r="AZ1" s="185"/>
      <c r="BA1" s="185"/>
      <c r="BB1" s="186"/>
      <c r="BC1" s="177">
        <v>2022</v>
      </c>
      <c r="BD1" s="178"/>
      <c r="BE1" s="178"/>
      <c r="BF1" s="178"/>
      <c r="BG1" s="178"/>
      <c r="BH1" s="178"/>
      <c r="BI1" s="178"/>
      <c r="BJ1" s="178"/>
      <c r="BK1" s="178"/>
      <c r="BL1" s="178"/>
      <c r="BM1" s="178"/>
      <c r="BN1" s="178"/>
      <c r="BO1" s="179"/>
    </row>
    <row r="2" spans="1:69" ht="14.4" customHeight="1" x14ac:dyDescent="0.3">
      <c r="A2" s="195"/>
      <c r="B2" s="192"/>
      <c r="C2" s="187" t="s">
        <v>415</v>
      </c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 t="s">
        <v>476</v>
      </c>
      <c r="P2" s="187" t="s">
        <v>415</v>
      </c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9" t="s">
        <v>416</v>
      </c>
      <c r="AC2" s="187" t="s">
        <v>415</v>
      </c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9" t="s">
        <v>641</v>
      </c>
      <c r="AP2" s="187" t="s">
        <v>415</v>
      </c>
      <c r="AQ2" s="188"/>
      <c r="AR2" s="188"/>
      <c r="AS2" s="188"/>
      <c r="AT2" s="188"/>
      <c r="AU2" s="188"/>
      <c r="AV2" s="188"/>
      <c r="AW2" s="188"/>
      <c r="AX2" s="188"/>
      <c r="AY2" s="188"/>
      <c r="AZ2" s="188"/>
      <c r="BA2" s="188"/>
      <c r="BB2" s="189" t="s">
        <v>641</v>
      </c>
      <c r="BC2" s="180" t="s">
        <v>415</v>
      </c>
      <c r="BD2" s="181"/>
      <c r="BE2" s="181"/>
      <c r="BF2" s="181"/>
      <c r="BG2" s="181"/>
      <c r="BH2" s="181"/>
      <c r="BI2" s="181"/>
      <c r="BJ2" s="181"/>
      <c r="BK2" s="181"/>
      <c r="BL2" s="181"/>
      <c r="BM2" s="181"/>
      <c r="BN2" s="181"/>
      <c r="BO2" s="182" t="s">
        <v>641</v>
      </c>
    </row>
    <row r="3" spans="1:69" ht="68.400000000000006" customHeight="1" thickBot="1" x14ac:dyDescent="0.35">
      <c r="A3" s="196"/>
      <c r="B3" s="193"/>
      <c r="C3" s="77" t="s">
        <v>403</v>
      </c>
      <c r="D3" s="76" t="s">
        <v>404</v>
      </c>
      <c r="E3" s="76" t="s">
        <v>405</v>
      </c>
      <c r="F3" s="76" t="s">
        <v>406</v>
      </c>
      <c r="G3" s="76" t="s">
        <v>407</v>
      </c>
      <c r="H3" s="76" t="s">
        <v>408</v>
      </c>
      <c r="I3" s="76" t="s">
        <v>409</v>
      </c>
      <c r="J3" s="76" t="s">
        <v>410</v>
      </c>
      <c r="K3" s="76" t="s">
        <v>411</v>
      </c>
      <c r="L3" s="76" t="s">
        <v>412</v>
      </c>
      <c r="M3" s="76" t="s">
        <v>413</v>
      </c>
      <c r="N3" s="76" t="s">
        <v>414</v>
      </c>
      <c r="O3" s="190"/>
      <c r="P3" s="77" t="s">
        <v>403</v>
      </c>
      <c r="Q3" s="76" t="s">
        <v>404</v>
      </c>
      <c r="R3" s="76" t="s">
        <v>405</v>
      </c>
      <c r="S3" s="76" t="s">
        <v>406</v>
      </c>
      <c r="T3" s="76" t="s">
        <v>407</v>
      </c>
      <c r="U3" s="76" t="s">
        <v>408</v>
      </c>
      <c r="V3" s="76" t="s">
        <v>409</v>
      </c>
      <c r="W3" s="76" t="s">
        <v>410</v>
      </c>
      <c r="X3" s="76" t="s">
        <v>411</v>
      </c>
      <c r="Y3" s="76" t="s">
        <v>412</v>
      </c>
      <c r="Z3" s="76" t="s">
        <v>413</v>
      </c>
      <c r="AA3" s="76" t="s">
        <v>414</v>
      </c>
      <c r="AB3" s="190"/>
      <c r="AC3" s="77" t="s">
        <v>403</v>
      </c>
      <c r="AD3" s="76" t="s">
        <v>404</v>
      </c>
      <c r="AE3" s="76" t="s">
        <v>405</v>
      </c>
      <c r="AF3" s="76" t="s">
        <v>406</v>
      </c>
      <c r="AG3" s="76" t="s">
        <v>407</v>
      </c>
      <c r="AH3" s="76" t="s">
        <v>408</v>
      </c>
      <c r="AI3" s="76" t="s">
        <v>409</v>
      </c>
      <c r="AJ3" s="76" t="s">
        <v>410</v>
      </c>
      <c r="AK3" s="76" t="s">
        <v>411</v>
      </c>
      <c r="AL3" s="76" t="s">
        <v>412</v>
      </c>
      <c r="AM3" s="76" t="s">
        <v>413</v>
      </c>
      <c r="AN3" s="76" t="s">
        <v>414</v>
      </c>
      <c r="AO3" s="190"/>
      <c r="AP3" s="77" t="s">
        <v>403</v>
      </c>
      <c r="AQ3" s="76" t="s">
        <v>404</v>
      </c>
      <c r="AR3" s="76" t="s">
        <v>405</v>
      </c>
      <c r="AS3" s="76" t="s">
        <v>406</v>
      </c>
      <c r="AT3" s="76" t="s">
        <v>407</v>
      </c>
      <c r="AU3" s="76" t="s">
        <v>408</v>
      </c>
      <c r="AV3" s="76" t="s">
        <v>409</v>
      </c>
      <c r="AW3" s="76" t="s">
        <v>410</v>
      </c>
      <c r="AX3" s="76" t="s">
        <v>411</v>
      </c>
      <c r="AY3" s="76" t="s">
        <v>412</v>
      </c>
      <c r="AZ3" s="76" t="s">
        <v>413</v>
      </c>
      <c r="BA3" s="76" t="s">
        <v>414</v>
      </c>
      <c r="BB3" s="190"/>
      <c r="BC3" s="170" t="s">
        <v>403</v>
      </c>
      <c r="BD3" s="171" t="s">
        <v>404</v>
      </c>
      <c r="BE3" s="171" t="s">
        <v>405</v>
      </c>
      <c r="BF3" s="171" t="s">
        <v>406</v>
      </c>
      <c r="BG3" s="171" t="s">
        <v>407</v>
      </c>
      <c r="BH3" s="171" t="s">
        <v>408</v>
      </c>
      <c r="BI3" s="171" t="s">
        <v>409</v>
      </c>
      <c r="BJ3" s="171" t="s">
        <v>410</v>
      </c>
      <c r="BK3" s="171" t="s">
        <v>411</v>
      </c>
      <c r="BL3" s="171" t="s">
        <v>412</v>
      </c>
      <c r="BM3" s="171" t="s">
        <v>413</v>
      </c>
      <c r="BN3" s="171" t="s">
        <v>414</v>
      </c>
      <c r="BO3" s="183"/>
    </row>
    <row r="4" spans="1:69" x14ac:dyDescent="0.3">
      <c r="A4" s="92" t="s">
        <v>18</v>
      </c>
      <c r="B4" s="100" t="s">
        <v>19</v>
      </c>
      <c r="C4" s="78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9">
        <f>'Seznam OM'!R7+'Seznam OM'!W7</f>
        <v>3444.069</v>
      </c>
      <c r="P4" s="78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9">
        <f>'Seznam OM'!S7+'Seznam OM'!X7</f>
        <v>3674.6439999999998</v>
      </c>
      <c r="AC4" s="78">
        <v>541</v>
      </c>
      <c r="AD4" s="75">
        <v>421</v>
      </c>
      <c r="AE4" s="75">
        <v>380</v>
      </c>
      <c r="AF4" s="75">
        <v>243</v>
      </c>
      <c r="AG4" s="75">
        <v>133</v>
      </c>
      <c r="AH4" s="75">
        <v>82</v>
      </c>
      <c r="AI4" s="75">
        <v>70</v>
      </c>
      <c r="AJ4" s="75">
        <v>138</v>
      </c>
      <c r="AK4" s="75">
        <v>230</v>
      </c>
      <c r="AL4" s="75">
        <v>261</v>
      </c>
      <c r="AM4" s="75">
        <v>316</v>
      </c>
      <c r="AN4" s="75">
        <v>401</v>
      </c>
      <c r="AO4" s="79">
        <v>3215</v>
      </c>
      <c r="AP4" s="78">
        <v>412</v>
      </c>
      <c r="AQ4" s="75">
        <v>368</v>
      </c>
      <c r="AR4" s="75">
        <v>341</v>
      </c>
      <c r="AS4" s="75">
        <v>263</v>
      </c>
      <c r="AT4" s="75">
        <v>120</v>
      </c>
      <c r="AU4" s="75">
        <v>70</v>
      </c>
      <c r="AV4" s="75">
        <v>81</v>
      </c>
      <c r="AW4" s="75">
        <v>159</v>
      </c>
      <c r="AX4" s="75">
        <v>257</v>
      </c>
      <c r="AY4" s="75">
        <v>350</v>
      </c>
      <c r="AZ4" s="75">
        <v>389</v>
      </c>
      <c r="BA4" s="75">
        <v>430</v>
      </c>
      <c r="BB4" s="79">
        <f>(SUM(AP4:BA4)+SUM(AC4:AN4))/2</f>
        <v>3228</v>
      </c>
      <c r="BC4" s="78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9">
        <f>(SUM(BC4:BN4)+SUM(AP4:BA4))/2</f>
        <v>1620</v>
      </c>
      <c r="BP4">
        <f>'Spotřeba zemního plynu'!BB4</f>
        <v>1021.5</v>
      </c>
      <c r="BQ4">
        <f>(BB4/3.6)/'Spotřeba zemního plynu'!BB4</f>
        <v>0.87779409365312444</v>
      </c>
    </row>
    <row r="5" spans="1:69" x14ac:dyDescent="0.3">
      <c r="A5" s="93" t="s">
        <v>21</v>
      </c>
      <c r="B5" s="101" t="s">
        <v>22</v>
      </c>
      <c r="C5" s="80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81">
        <f>'Seznam OM'!R8+'Seznam OM'!W8</f>
        <v>865.50400000000002</v>
      </c>
      <c r="P5" s="80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9">
        <f>'Seznam OM'!S8+'Seznam OM'!X8</f>
        <v>0</v>
      </c>
      <c r="AC5" s="80">
        <v>168</v>
      </c>
      <c r="AD5" s="73">
        <v>116</v>
      </c>
      <c r="AE5" s="73">
        <v>113</v>
      </c>
      <c r="AF5" s="73">
        <v>61</v>
      </c>
      <c r="AG5" s="73">
        <v>44</v>
      </c>
      <c r="AH5" s="73">
        <v>10</v>
      </c>
      <c r="AI5" s="73">
        <v>10</v>
      </c>
      <c r="AJ5" s="73">
        <v>9</v>
      </c>
      <c r="AK5" s="73">
        <v>13</v>
      </c>
      <c r="AL5" s="73">
        <v>80</v>
      </c>
      <c r="AM5" s="73">
        <v>116</v>
      </c>
      <c r="AN5" s="73">
        <v>154</v>
      </c>
      <c r="AO5" s="81">
        <v>895</v>
      </c>
      <c r="AP5" s="80">
        <v>169</v>
      </c>
      <c r="AQ5" s="73">
        <v>149</v>
      </c>
      <c r="AR5" s="73">
        <v>141</v>
      </c>
      <c r="AS5" s="73">
        <v>97</v>
      </c>
      <c r="AT5" s="73">
        <v>60</v>
      </c>
      <c r="AU5" s="73">
        <v>13</v>
      </c>
      <c r="AV5" s="73">
        <v>12</v>
      </c>
      <c r="AW5" s="73">
        <v>11</v>
      </c>
      <c r="AX5" s="73">
        <v>23</v>
      </c>
      <c r="AY5" s="73">
        <v>89</v>
      </c>
      <c r="AZ5" s="73">
        <v>113</v>
      </c>
      <c r="BA5" s="73">
        <v>197</v>
      </c>
      <c r="BB5" s="79">
        <f t="shared" ref="BB5:BB9" si="0">(SUM(AP5:BA5)+SUM(AC5:AN5))/2</f>
        <v>984</v>
      </c>
      <c r="BC5" s="80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9">
        <f t="shared" ref="BO5:BO9" si="1">(SUM(BC5:BN5)+SUM(AP5:BA5))/2</f>
        <v>537</v>
      </c>
      <c r="BP5">
        <f>'Spotřeba zemního plynu'!BB5</f>
        <v>299.5</v>
      </c>
    </row>
    <row r="6" spans="1:69" x14ac:dyDescent="0.3">
      <c r="A6" s="94" t="s">
        <v>25</v>
      </c>
      <c r="B6" s="101" t="s">
        <v>26</v>
      </c>
      <c r="C6" s="80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81">
        <f>'Seznam OM'!R9+'Seznam OM'!W9</f>
        <v>3226.0210000000002</v>
      </c>
      <c r="P6" s="80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9">
        <f>'Seznam OM'!S9+'Seznam OM'!X9</f>
        <v>3273.2379999999998</v>
      </c>
      <c r="AC6" s="80">
        <v>520</v>
      </c>
      <c r="AD6" s="73">
        <v>395</v>
      </c>
      <c r="AE6" s="73">
        <v>299</v>
      </c>
      <c r="AF6" s="73">
        <v>146</v>
      </c>
      <c r="AG6" s="73">
        <v>94</v>
      </c>
      <c r="AH6" s="73">
        <v>52</v>
      </c>
      <c r="AI6" s="73">
        <v>30</v>
      </c>
      <c r="AJ6" s="73">
        <v>56</v>
      </c>
      <c r="AK6" s="73">
        <v>181</v>
      </c>
      <c r="AL6" s="73">
        <v>218</v>
      </c>
      <c r="AM6" s="73">
        <v>218</v>
      </c>
      <c r="AN6" s="73">
        <v>419</v>
      </c>
      <c r="AO6" s="81">
        <v>2625</v>
      </c>
      <c r="AP6" s="80">
        <v>284</v>
      </c>
      <c r="AQ6" s="73">
        <v>249</v>
      </c>
      <c r="AR6" s="73">
        <v>243</v>
      </c>
      <c r="AS6" s="73">
        <v>145</v>
      </c>
      <c r="AT6" s="73">
        <v>92</v>
      </c>
      <c r="AU6" s="73">
        <v>105</v>
      </c>
      <c r="AV6" s="73">
        <v>32</v>
      </c>
      <c r="AW6" s="73">
        <v>87</v>
      </c>
      <c r="AX6" s="73">
        <v>209</v>
      </c>
      <c r="AY6" s="73">
        <v>331</v>
      </c>
      <c r="AZ6" s="73">
        <v>401</v>
      </c>
      <c r="BA6" s="73">
        <v>511</v>
      </c>
      <c r="BB6" s="79">
        <f t="shared" si="0"/>
        <v>2658.5</v>
      </c>
      <c r="BC6" s="80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9">
        <f t="shared" si="1"/>
        <v>1344.5</v>
      </c>
      <c r="BP6">
        <f>'Spotřeba zemního plynu'!BB6</f>
        <v>820.5</v>
      </c>
    </row>
    <row r="7" spans="1:69" x14ac:dyDescent="0.3">
      <c r="A7" s="93" t="s">
        <v>28</v>
      </c>
      <c r="B7" s="101" t="s">
        <v>29</v>
      </c>
      <c r="C7" s="80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81">
        <f>'Seznam OM'!R10+'Seznam OM'!W10</f>
        <v>2766.62</v>
      </c>
      <c r="P7" s="80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9">
        <f>'Seznam OM'!S10+'Seznam OM'!X10</f>
        <v>0</v>
      </c>
      <c r="AC7" s="80">
        <v>365</v>
      </c>
      <c r="AD7" s="73">
        <v>276</v>
      </c>
      <c r="AE7" s="73">
        <v>274</v>
      </c>
      <c r="AF7" s="73">
        <v>217</v>
      </c>
      <c r="AG7" s="73">
        <v>192</v>
      </c>
      <c r="AH7" s="73">
        <v>99</v>
      </c>
      <c r="AI7" s="73">
        <v>151</v>
      </c>
      <c r="AJ7" s="73">
        <v>99</v>
      </c>
      <c r="AK7" s="73">
        <v>116</v>
      </c>
      <c r="AL7" s="73">
        <v>265</v>
      </c>
      <c r="AM7" s="73">
        <v>381</v>
      </c>
      <c r="AN7" s="73">
        <v>421</v>
      </c>
      <c r="AO7" s="81">
        <v>2856</v>
      </c>
      <c r="AP7" s="80">
        <v>425</v>
      </c>
      <c r="AQ7" s="73">
        <v>373</v>
      </c>
      <c r="AR7" s="73">
        <v>361</v>
      </c>
      <c r="AS7" s="73">
        <v>286</v>
      </c>
      <c r="AT7" s="73">
        <v>207</v>
      </c>
      <c r="AU7" s="73">
        <v>104</v>
      </c>
      <c r="AV7" s="73">
        <v>94</v>
      </c>
      <c r="AW7" s="73">
        <v>92</v>
      </c>
      <c r="AX7" s="73">
        <v>132</v>
      </c>
      <c r="AY7" s="73">
        <v>260</v>
      </c>
      <c r="AZ7" s="73">
        <v>321</v>
      </c>
      <c r="BA7" s="73">
        <v>371</v>
      </c>
      <c r="BB7" s="79">
        <f t="shared" si="0"/>
        <v>2941</v>
      </c>
      <c r="BC7" s="80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9">
        <f t="shared" si="1"/>
        <v>1513</v>
      </c>
      <c r="BP7">
        <f>'Spotřeba zemního plynu'!BB7</f>
        <v>1241.5</v>
      </c>
    </row>
    <row r="8" spans="1:69" x14ac:dyDescent="0.3">
      <c r="A8" s="95" t="s">
        <v>31</v>
      </c>
      <c r="B8" s="102" t="s">
        <v>32</v>
      </c>
      <c r="C8" s="80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81">
        <f>'Seznam OM'!R11+'Seznam OM'!W11</f>
        <v>0</v>
      </c>
      <c r="P8" s="80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9">
        <f>'Seznam OM'!S11+'Seznam OM'!X11</f>
        <v>0</v>
      </c>
      <c r="AC8" s="80">
        <v>263</v>
      </c>
      <c r="AD8" s="73">
        <v>204</v>
      </c>
      <c r="AE8" s="73">
        <v>169</v>
      </c>
      <c r="AF8" s="73">
        <v>62</v>
      </c>
      <c r="AG8" s="73">
        <v>33</v>
      </c>
      <c r="AH8" s="73">
        <v>14</v>
      </c>
      <c r="AI8" s="73">
        <v>15</v>
      </c>
      <c r="AJ8" s="73">
        <v>14</v>
      </c>
      <c r="AK8" s="73">
        <v>28</v>
      </c>
      <c r="AL8" s="73">
        <v>97</v>
      </c>
      <c r="AM8" s="73">
        <v>175</v>
      </c>
      <c r="AN8" s="73">
        <v>323</v>
      </c>
      <c r="AO8" s="81">
        <v>1397</v>
      </c>
      <c r="AP8" s="80">
        <v>266</v>
      </c>
      <c r="AQ8" s="73">
        <v>260</v>
      </c>
      <c r="AR8" s="73">
        <v>203</v>
      </c>
      <c r="AS8" s="73">
        <v>131</v>
      </c>
      <c r="AT8" s="73">
        <v>61</v>
      </c>
      <c r="AU8" s="73">
        <v>15</v>
      </c>
      <c r="AV8" s="73">
        <v>6</v>
      </c>
      <c r="AW8" s="73">
        <v>23</v>
      </c>
      <c r="AX8" s="73">
        <v>27</v>
      </c>
      <c r="AY8" s="73">
        <v>120</v>
      </c>
      <c r="AZ8" s="73">
        <v>208</v>
      </c>
      <c r="BA8" s="73">
        <v>273</v>
      </c>
      <c r="BB8" s="79">
        <f t="shared" si="0"/>
        <v>1495</v>
      </c>
      <c r="BC8" s="80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9">
        <f t="shared" si="1"/>
        <v>796.5</v>
      </c>
      <c r="BP8">
        <f>'Spotřeba zemního plynu'!BB8</f>
        <v>0</v>
      </c>
    </row>
    <row r="9" spans="1:69" x14ac:dyDescent="0.3">
      <c r="A9" s="93" t="s">
        <v>34</v>
      </c>
      <c r="B9" s="101" t="s">
        <v>35</v>
      </c>
      <c r="C9" s="80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81">
        <f>'Seznam OM'!R12+'Seznam OM'!W12</f>
        <v>1581.1399999999999</v>
      </c>
      <c r="P9" s="80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9">
        <f>'Seznam OM'!S12+'Seznam OM'!X12</f>
        <v>0</v>
      </c>
      <c r="AC9" s="80">
        <v>317</v>
      </c>
      <c r="AD9" s="73">
        <v>200</v>
      </c>
      <c r="AE9" s="73">
        <v>199</v>
      </c>
      <c r="AF9" s="73">
        <v>105</v>
      </c>
      <c r="AG9" s="73">
        <v>62</v>
      </c>
      <c r="AH9" s="73">
        <v>10</v>
      </c>
      <c r="AI9" s="73">
        <v>9</v>
      </c>
      <c r="AJ9" s="73">
        <v>9</v>
      </c>
      <c r="AK9" s="73">
        <v>13</v>
      </c>
      <c r="AL9" s="73">
        <v>117</v>
      </c>
      <c r="AM9" s="73">
        <v>167</v>
      </c>
      <c r="AN9" s="73">
        <v>202</v>
      </c>
      <c r="AO9" s="81">
        <v>1410</v>
      </c>
      <c r="AP9" s="80">
        <v>297</v>
      </c>
      <c r="AQ9" s="73">
        <v>238</v>
      </c>
      <c r="AR9" s="73">
        <v>229</v>
      </c>
      <c r="AS9" s="73">
        <v>146</v>
      </c>
      <c r="AT9" s="73">
        <v>72</v>
      </c>
      <c r="AU9" s="73">
        <v>9</v>
      </c>
      <c r="AV9" s="73">
        <v>5</v>
      </c>
      <c r="AW9" s="73">
        <v>8</v>
      </c>
      <c r="AX9" s="73">
        <v>21</v>
      </c>
      <c r="AY9" s="73">
        <v>140</v>
      </c>
      <c r="AZ9" s="73">
        <v>193</v>
      </c>
      <c r="BA9" s="73">
        <v>226</v>
      </c>
      <c r="BB9" s="79">
        <f t="shared" si="0"/>
        <v>1497</v>
      </c>
      <c r="BC9" s="80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9">
        <f t="shared" si="1"/>
        <v>792</v>
      </c>
      <c r="BP9">
        <f>'Spotřeba zemního plynu'!BB9</f>
        <v>471.5</v>
      </c>
    </row>
    <row r="10" spans="1:69" ht="36" x14ac:dyDescent="0.3">
      <c r="A10" s="103" t="s">
        <v>37</v>
      </c>
      <c r="B10" s="101" t="s">
        <v>38</v>
      </c>
      <c r="C10" s="80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81">
        <f>'Seznam OM'!R13+'Seznam OM'!W13</f>
        <v>0</v>
      </c>
      <c r="P10" s="80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9">
        <f>'Seznam OM'!S13+'Seznam OM'!X13</f>
        <v>0</v>
      </c>
      <c r="AC10" s="80">
        <v>89</v>
      </c>
      <c r="AD10" s="73">
        <v>55</v>
      </c>
      <c r="AE10" s="73">
        <v>31</v>
      </c>
      <c r="AF10" s="73">
        <v>10</v>
      </c>
      <c r="AG10" s="73">
        <v>5</v>
      </c>
      <c r="AH10" s="73">
        <v>0</v>
      </c>
      <c r="AI10" s="73">
        <v>0</v>
      </c>
      <c r="AJ10" s="73">
        <v>0</v>
      </c>
      <c r="AK10" s="73">
        <v>1</v>
      </c>
      <c r="AL10" s="73">
        <v>8</v>
      </c>
      <c r="AM10" s="73">
        <v>17</v>
      </c>
      <c r="AN10" s="73">
        <v>11</v>
      </c>
      <c r="AO10" s="81">
        <v>227</v>
      </c>
      <c r="AP10" s="80">
        <v>19</v>
      </c>
      <c r="AQ10" s="73">
        <v>23</v>
      </c>
      <c r="AR10" s="73">
        <v>24</v>
      </c>
      <c r="AS10" s="73">
        <v>15</v>
      </c>
      <c r="AT10" s="73">
        <v>6</v>
      </c>
      <c r="AU10" s="73">
        <v>0</v>
      </c>
      <c r="AV10" s="73">
        <v>0</v>
      </c>
      <c r="AW10" s="73">
        <v>0</v>
      </c>
      <c r="AX10" s="73">
        <v>1</v>
      </c>
      <c r="AY10" s="73">
        <v>6</v>
      </c>
      <c r="AZ10" s="73">
        <v>18</v>
      </c>
      <c r="BA10" s="73">
        <v>80</v>
      </c>
      <c r="BB10" s="79">
        <f>(SUM(AP10:BA10)+SUM(AC10:AN10))/2</f>
        <v>209.5</v>
      </c>
      <c r="BC10" s="80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9">
        <f>(SUM(BC10:BN10)+SUM(AP10:BA10))/2</f>
        <v>96</v>
      </c>
      <c r="BP10">
        <f>'Spotřeba zemního plynu'!BB10</f>
        <v>0</v>
      </c>
    </row>
    <row r="11" spans="1:69" x14ac:dyDescent="0.3">
      <c r="A11" s="93" t="s">
        <v>40</v>
      </c>
      <c r="B11" s="101" t="s">
        <v>41</v>
      </c>
      <c r="C11" s="80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81">
        <f>'Seznam OM'!R14+'Seznam OM'!W14</f>
        <v>1906.3380000000002</v>
      </c>
      <c r="P11" s="80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9">
        <f>'Seznam OM'!S14+'Seznam OM'!X14</f>
        <v>1885.9860000000001</v>
      </c>
      <c r="AC11" s="80">
        <v>392</v>
      </c>
      <c r="AD11" s="73">
        <v>228</v>
      </c>
      <c r="AE11" s="73">
        <v>213</v>
      </c>
      <c r="AF11" s="73">
        <v>95</v>
      </c>
      <c r="AG11" s="73">
        <v>47</v>
      </c>
      <c r="AH11" s="73">
        <v>13</v>
      </c>
      <c r="AI11" s="73">
        <v>11</v>
      </c>
      <c r="AJ11" s="73">
        <v>12</v>
      </c>
      <c r="AK11" s="73">
        <v>28</v>
      </c>
      <c r="AL11" s="73">
        <v>143</v>
      </c>
      <c r="AM11" s="73">
        <v>266</v>
      </c>
      <c r="AN11" s="73">
        <v>309</v>
      </c>
      <c r="AO11" s="81">
        <v>1757</v>
      </c>
      <c r="AP11" s="80">
        <v>396</v>
      </c>
      <c r="AQ11" s="73">
        <v>336</v>
      </c>
      <c r="AR11" s="73">
        <v>300</v>
      </c>
      <c r="AS11" s="73">
        <v>182</v>
      </c>
      <c r="AT11" s="73">
        <v>80</v>
      </c>
      <c r="AU11" s="73">
        <v>15</v>
      </c>
      <c r="AV11" s="73">
        <v>13</v>
      </c>
      <c r="AW11" s="73">
        <v>11</v>
      </c>
      <c r="AX11" s="73">
        <v>34</v>
      </c>
      <c r="AY11" s="73">
        <v>145</v>
      </c>
      <c r="AZ11" s="73">
        <v>253</v>
      </c>
      <c r="BA11" s="73">
        <v>314</v>
      </c>
      <c r="BB11" s="79">
        <f t="shared" ref="BB11:BB74" si="2">(SUM(AP11:BA11)+SUM(AC11:AN11))/2</f>
        <v>1918</v>
      </c>
      <c r="BC11" s="80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9">
        <f t="shared" ref="BO11:BO74" si="3">(SUM(BC11:BN11)+SUM(AP11:BA11))/2</f>
        <v>1039.5</v>
      </c>
      <c r="BP11">
        <f>'Spotřeba zemního plynu'!BB11</f>
        <v>0</v>
      </c>
    </row>
    <row r="12" spans="1:69" x14ac:dyDescent="0.3">
      <c r="A12" s="93" t="s">
        <v>44</v>
      </c>
      <c r="B12" s="101" t="s">
        <v>45</v>
      </c>
      <c r="C12" s="80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81">
        <f>'Seznam OM'!R15+'Seznam OM'!W15</f>
        <v>0</v>
      </c>
      <c r="P12" s="80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9">
        <f>'Seznam OM'!S15+'Seznam OM'!X15</f>
        <v>0</v>
      </c>
      <c r="AC12" s="80">
        <v>82</v>
      </c>
      <c r="AD12" s="73">
        <v>59</v>
      </c>
      <c r="AE12" s="73">
        <v>63</v>
      </c>
      <c r="AF12" s="73">
        <v>45</v>
      </c>
      <c r="AG12" s="73">
        <v>32</v>
      </c>
      <c r="AH12" s="73">
        <v>0</v>
      </c>
      <c r="AI12" s="73">
        <v>0</v>
      </c>
      <c r="AJ12" s="73">
        <v>0</v>
      </c>
      <c r="AK12" s="73">
        <v>2</v>
      </c>
      <c r="AL12" s="73">
        <v>39</v>
      </c>
      <c r="AM12" s="73">
        <v>61</v>
      </c>
      <c r="AN12" s="73">
        <v>72</v>
      </c>
      <c r="AO12" s="81">
        <v>456</v>
      </c>
      <c r="AP12" s="80">
        <v>87</v>
      </c>
      <c r="AQ12" s="73">
        <v>68</v>
      </c>
      <c r="AR12" s="73">
        <v>67</v>
      </c>
      <c r="AS12" s="73">
        <v>53</v>
      </c>
      <c r="AT12" s="73">
        <v>31</v>
      </c>
      <c r="AU12" s="73">
        <v>3</v>
      </c>
      <c r="AV12" s="73">
        <v>0</v>
      </c>
      <c r="AW12" s="73">
        <v>0</v>
      </c>
      <c r="AX12" s="73">
        <v>9</v>
      </c>
      <c r="AY12" s="73">
        <v>44</v>
      </c>
      <c r="AZ12" s="73">
        <v>64</v>
      </c>
      <c r="BA12" s="73">
        <v>80</v>
      </c>
      <c r="BB12" s="79">
        <f t="shared" si="2"/>
        <v>480.5</v>
      </c>
      <c r="BC12" s="80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9">
        <f t="shared" si="3"/>
        <v>253</v>
      </c>
      <c r="BP12">
        <f>'Spotřeba zemního plynu'!BB12</f>
        <v>157</v>
      </c>
    </row>
    <row r="13" spans="1:69" x14ac:dyDescent="0.3">
      <c r="A13" s="110" t="s">
        <v>47</v>
      </c>
      <c r="B13" s="85" t="s">
        <v>48</v>
      </c>
      <c r="C13" s="80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81">
        <f>'Seznam OM'!R16+'Seznam OM'!W16</f>
        <v>0</v>
      </c>
      <c r="P13" s="80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9">
        <f>'Seznam OM'!S16+'Seznam OM'!X16</f>
        <v>0</v>
      </c>
      <c r="AC13" s="80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81"/>
      <c r="AP13" s="80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9">
        <f t="shared" si="2"/>
        <v>0</v>
      </c>
      <c r="BC13" s="80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9">
        <f t="shared" si="3"/>
        <v>0</v>
      </c>
      <c r="BP13">
        <f>'Spotřeba zemního plynu'!BB13</f>
        <v>0</v>
      </c>
    </row>
    <row r="14" spans="1:69" x14ac:dyDescent="0.3">
      <c r="A14" s="93" t="s">
        <v>50</v>
      </c>
      <c r="B14" s="101" t="s">
        <v>51</v>
      </c>
      <c r="C14" s="80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81">
        <f>'Seznam OM'!R17+'Seznam OM'!W17</f>
        <v>1147.7629999999999</v>
      </c>
      <c r="P14" s="80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9">
        <f>'Seznam OM'!S17+'Seznam OM'!X17</f>
        <v>1117.992</v>
      </c>
      <c r="AC14" s="80">
        <v>236</v>
      </c>
      <c r="AD14" s="73">
        <v>147</v>
      </c>
      <c r="AE14" s="73">
        <v>130</v>
      </c>
      <c r="AF14" s="73">
        <v>53</v>
      </c>
      <c r="AG14" s="73">
        <v>35</v>
      </c>
      <c r="AH14" s="73">
        <v>9</v>
      </c>
      <c r="AI14" s="73">
        <v>5</v>
      </c>
      <c r="AJ14" s="73">
        <v>7</v>
      </c>
      <c r="AK14" s="73">
        <v>13</v>
      </c>
      <c r="AL14" s="73">
        <v>94</v>
      </c>
      <c r="AM14" s="73">
        <v>152</v>
      </c>
      <c r="AN14" s="73">
        <v>188</v>
      </c>
      <c r="AO14" s="81">
        <v>1068</v>
      </c>
      <c r="AP14" s="80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9">
        <f t="shared" si="2"/>
        <v>534.5</v>
      </c>
      <c r="BC14" s="80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9">
        <f t="shared" si="3"/>
        <v>0</v>
      </c>
      <c r="BP14">
        <f>'Spotřeba zemního plynu'!BB14</f>
        <v>341.5</v>
      </c>
    </row>
    <row r="15" spans="1:69" x14ac:dyDescent="0.3">
      <c r="A15" s="96" t="s">
        <v>53</v>
      </c>
      <c r="B15" s="101" t="s">
        <v>54</v>
      </c>
      <c r="C15" s="80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81">
        <f>'Seznam OM'!R18+'Seznam OM'!W18</f>
        <v>502.52700000000004</v>
      </c>
      <c r="P15" s="80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9">
        <f>'Seznam OM'!S18+'Seznam OM'!X18</f>
        <v>490.17500000000001</v>
      </c>
      <c r="AC15" s="80">
        <v>99</v>
      </c>
      <c r="AD15" s="73">
        <v>68</v>
      </c>
      <c r="AE15" s="73">
        <v>63</v>
      </c>
      <c r="AF15" s="73">
        <v>35</v>
      </c>
      <c r="AG15" s="73">
        <v>29</v>
      </c>
      <c r="AH15" s="73">
        <v>5</v>
      </c>
      <c r="AI15" s="73">
        <v>14</v>
      </c>
      <c r="AJ15" s="73">
        <v>14</v>
      </c>
      <c r="AK15" s="73">
        <v>19</v>
      </c>
      <c r="AL15" s="73">
        <v>37</v>
      </c>
      <c r="AM15" s="73">
        <v>55</v>
      </c>
      <c r="AN15" s="73">
        <v>64</v>
      </c>
      <c r="AO15" s="81">
        <v>502</v>
      </c>
      <c r="AP15" s="80">
        <v>81</v>
      </c>
      <c r="AQ15" s="73">
        <v>79</v>
      </c>
      <c r="AR15" s="73">
        <v>60</v>
      </c>
      <c r="AS15" s="73">
        <v>52</v>
      </c>
      <c r="AT15" s="73">
        <v>36</v>
      </c>
      <c r="AU15" s="73">
        <v>16</v>
      </c>
      <c r="AV15" s="73">
        <v>3</v>
      </c>
      <c r="AW15" s="73">
        <v>11</v>
      </c>
      <c r="AX15" s="73">
        <v>21</v>
      </c>
      <c r="AY15" s="73">
        <v>42</v>
      </c>
      <c r="AZ15" s="73">
        <v>54</v>
      </c>
      <c r="BA15" s="73">
        <v>63</v>
      </c>
      <c r="BB15" s="79">
        <f t="shared" si="2"/>
        <v>510</v>
      </c>
      <c r="BC15" s="80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9">
        <f t="shared" si="3"/>
        <v>259</v>
      </c>
      <c r="BP15">
        <f>'Spotřeba zemního plynu'!BB15</f>
        <v>164</v>
      </c>
    </row>
    <row r="16" spans="1:69" x14ac:dyDescent="0.3">
      <c r="A16" s="95" t="s">
        <v>56</v>
      </c>
      <c r="B16" s="102" t="s">
        <v>57</v>
      </c>
      <c r="C16" s="80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81">
        <f>'Seznam OM'!R19+'Seznam OM'!W19</f>
        <v>424.99700000000001</v>
      </c>
      <c r="P16" s="80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9">
        <f>'Seznam OM'!S19+'Seznam OM'!X19</f>
        <v>0</v>
      </c>
      <c r="AC16" s="80">
        <v>87</v>
      </c>
      <c r="AD16" s="73">
        <v>62</v>
      </c>
      <c r="AE16" s="73">
        <v>66</v>
      </c>
      <c r="AF16" s="73">
        <v>26</v>
      </c>
      <c r="AG16" s="73">
        <v>8</v>
      </c>
      <c r="AH16" s="73">
        <v>0</v>
      </c>
      <c r="AI16" s="73">
        <v>0</v>
      </c>
      <c r="AJ16" s="73">
        <v>0</v>
      </c>
      <c r="AK16" s="73">
        <v>1</v>
      </c>
      <c r="AL16" s="73">
        <v>45</v>
      </c>
      <c r="AM16" s="73">
        <v>69</v>
      </c>
      <c r="AN16" s="73">
        <v>79</v>
      </c>
      <c r="AO16" s="81">
        <v>442</v>
      </c>
      <c r="AP16" s="80">
        <v>86</v>
      </c>
      <c r="AQ16" s="73">
        <v>78</v>
      </c>
      <c r="AR16" s="73">
        <v>74</v>
      </c>
      <c r="AS16" s="73">
        <v>57</v>
      </c>
      <c r="AT16" s="73">
        <v>28</v>
      </c>
      <c r="AU16" s="73">
        <v>8</v>
      </c>
      <c r="AV16" s="73">
        <v>0</v>
      </c>
      <c r="AW16" s="73">
        <v>0</v>
      </c>
      <c r="AX16" s="73">
        <v>2</v>
      </c>
      <c r="AY16" s="73">
        <v>40</v>
      </c>
      <c r="AZ16" s="73">
        <v>55</v>
      </c>
      <c r="BA16" s="73">
        <v>54</v>
      </c>
      <c r="BB16" s="79">
        <f t="shared" si="2"/>
        <v>462.5</v>
      </c>
      <c r="BC16" s="80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9">
        <f t="shared" si="3"/>
        <v>241</v>
      </c>
      <c r="BP16">
        <f>'Spotřeba zemního plynu'!BB16</f>
        <v>144.5</v>
      </c>
    </row>
    <row r="17" spans="1:68" x14ac:dyDescent="0.3">
      <c r="A17" s="74" t="s">
        <v>59</v>
      </c>
      <c r="B17" s="85" t="s">
        <v>60</v>
      </c>
      <c r="C17" s="80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81">
        <f>'Seznam OM'!R20+'Seznam OM'!W20</f>
        <v>0</v>
      </c>
      <c r="P17" s="80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9">
        <f>'Seznam OM'!S20+'Seznam OM'!X20</f>
        <v>0</v>
      </c>
      <c r="AC17" s="80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81"/>
      <c r="AP17" s="80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9">
        <f t="shared" si="2"/>
        <v>0</v>
      </c>
      <c r="BC17" s="80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9">
        <f t="shared" si="3"/>
        <v>0</v>
      </c>
      <c r="BP17">
        <f>'Spotřeba zemního plynu'!BB17</f>
        <v>157</v>
      </c>
    </row>
    <row r="18" spans="1:68" x14ac:dyDescent="0.3">
      <c r="A18" s="110" t="s">
        <v>62</v>
      </c>
      <c r="B18" s="85" t="s">
        <v>63</v>
      </c>
      <c r="C18" s="80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81">
        <f>'Seznam OM'!R21+'Seznam OM'!W21</f>
        <v>0</v>
      </c>
      <c r="P18" s="80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9">
        <f>'Seznam OM'!S21+'Seznam OM'!X21</f>
        <v>0</v>
      </c>
      <c r="AC18" s="80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81"/>
      <c r="AP18" s="80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9">
        <f t="shared" si="2"/>
        <v>0</v>
      </c>
      <c r="BC18" s="80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9">
        <f t="shared" si="3"/>
        <v>0</v>
      </c>
      <c r="BP18">
        <f>'Spotřeba zemního plynu'!BB18</f>
        <v>0</v>
      </c>
    </row>
    <row r="19" spans="1:68" x14ac:dyDescent="0.3">
      <c r="A19" s="110" t="s">
        <v>65</v>
      </c>
      <c r="B19" s="85" t="s">
        <v>66</v>
      </c>
      <c r="C19" s="80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81">
        <f>'Seznam OM'!R22+'Seznam OM'!W22</f>
        <v>0</v>
      </c>
      <c r="P19" s="80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9">
        <f>'Seznam OM'!S22+'Seznam OM'!X22</f>
        <v>0</v>
      </c>
      <c r="AC19" s="80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81"/>
      <c r="AP19" s="80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9">
        <f t="shared" si="2"/>
        <v>0</v>
      </c>
      <c r="BC19" s="80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9">
        <f t="shared" si="3"/>
        <v>0</v>
      </c>
      <c r="BP19">
        <f>'Spotřeba zemního plynu'!BB19</f>
        <v>0</v>
      </c>
    </row>
    <row r="20" spans="1:68" x14ac:dyDescent="0.3">
      <c r="A20" s="110" t="s">
        <v>68</v>
      </c>
      <c r="B20" s="85" t="s">
        <v>69</v>
      </c>
      <c r="C20" s="80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81">
        <f>'Seznam OM'!R23+'Seznam OM'!W23</f>
        <v>0</v>
      </c>
      <c r="P20" s="80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9">
        <f>'Seznam OM'!S23+'Seznam OM'!X23</f>
        <v>0</v>
      </c>
      <c r="AC20" s="80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81"/>
      <c r="AP20" s="80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9">
        <f t="shared" si="2"/>
        <v>0</v>
      </c>
      <c r="BC20" s="80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9">
        <f t="shared" si="3"/>
        <v>0</v>
      </c>
      <c r="BP20">
        <f>'Spotřeba zemního plynu'!BB20</f>
        <v>0</v>
      </c>
    </row>
    <row r="21" spans="1:68" x14ac:dyDescent="0.3">
      <c r="A21" s="110" t="s">
        <v>47</v>
      </c>
      <c r="B21" s="85" t="s">
        <v>71</v>
      </c>
      <c r="C21" s="80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81">
        <f>'Seznam OM'!R24+'Seznam OM'!W24</f>
        <v>0</v>
      </c>
      <c r="P21" s="80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9">
        <f>'Seznam OM'!S24+'Seznam OM'!X24</f>
        <v>0</v>
      </c>
      <c r="AC21" s="80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81"/>
      <c r="AP21" s="80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9">
        <f t="shared" si="2"/>
        <v>0</v>
      </c>
      <c r="BC21" s="80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9">
        <f t="shared" si="3"/>
        <v>0</v>
      </c>
      <c r="BP21">
        <f>'Spotřeba zemního plynu'!BB21</f>
        <v>0</v>
      </c>
    </row>
    <row r="22" spans="1:68" x14ac:dyDescent="0.3">
      <c r="A22" s="110" t="s">
        <v>68</v>
      </c>
      <c r="B22" s="85" t="s">
        <v>73</v>
      </c>
      <c r="C22" s="80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81">
        <f>'Seznam OM'!R25+'Seznam OM'!W25</f>
        <v>1498.991</v>
      </c>
      <c r="P22" s="80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9">
        <f>'Seznam OM'!S25+'Seznam OM'!X25</f>
        <v>1563.989</v>
      </c>
      <c r="AC22" s="80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81"/>
      <c r="AP22" s="80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9">
        <f t="shared" si="2"/>
        <v>0</v>
      </c>
      <c r="BC22" s="80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9">
        <f t="shared" si="3"/>
        <v>0</v>
      </c>
      <c r="BP22">
        <f>'Spotřeba zemního plynu'!BB22</f>
        <v>0</v>
      </c>
    </row>
    <row r="23" spans="1:68" x14ac:dyDescent="0.3">
      <c r="A23" s="93" t="s">
        <v>68</v>
      </c>
      <c r="B23" s="101" t="s">
        <v>75</v>
      </c>
      <c r="C23" s="80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81">
        <f>'Seznam OM'!R26+'Seznam OM'!W26</f>
        <v>0</v>
      </c>
      <c r="P23" s="80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9">
        <f>'Seznam OM'!S26+'Seznam OM'!X26</f>
        <v>0</v>
      </c>
      <c r="AC23" s="80">
        <v>265</v>
      </c>
      <c r="AD23" s="73">
        <v>216</v>
      </c>
      <c r="AE23" s="73">
        <v>190</v>
      </c>
      <c r="AF23" s="73">
        <v>95</v>
      </c>
      <c r="AG23" s="73">
        <v>42</v>
      </c>
      <c r="AH23" s="73">
        <v>0</v>
      </c>
      <c r="AI23" s="73">
        <v>0</v>
      </c>
      <c r="AJ23" s="73">
        <v>0</v>
      </c>
      <c r="AK23" s="73">
        <v>8</v>
      </c>
      <c r="AL23" s="73">
        <v>102</v>
      </c>
      <c r="AM23" s="73">
        <v>250</v>
      </c>
      <c r="AN23" s="73">
        <v>335</v>
      </c>
      <c r="AO23" s="81">
        <v>1503</v>
      </c>
      <c r="AP23" s="80">
        <v>299</v>
      </c>
      <c r="AQ23" s="73">
        <v>282</v>
      </c>
      <c r="AR23" s="73">
        <v>229</v>
      </c>
      <c r="AS23" s="73">
        <v>125</v>
      </c>
      <c r="AT23" s="73">
        <v>30</v>
      </c>
      <c r="AU23" s="73">
        <v>0</v>
      </c>
      <c r="AV23" s="73">
        <v>0</v>
      </c>
      <c r="AW23" s="73">
        <v>0</v>
      </c>
      <c r="AX23" s="73">
        <v>3</v>
      </c>
      <c r="AY23" s="73">
        <v>84</v>
      </c>
      <c r="AZ23" s="73">
        <v>258</v>
      </c>
      <c r="BA23" s="73">
        <v>305</v>
      </c>
      <c r="BB23" s="79">
        <f t="shared" si="2"/>
        <v>1559</v>
      </c>
      <c r="BC23" s="80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9">
        <f t="shared" si="3"/>
        <v>807.5</v>
      </c>
      <c r="BP23">
        <f>'Spotřeba zemního plynu'!BB23</f>
        <v>0</v>
      </c>
    </row>
    <row r="24" spans="1:68" x14ac:dyDescent="0.3">
      <c r="A24" s="110" t="s">
        <v>65</v>
      </c>
      <c r="B24" s="85" t="s">
        <v>77</v>
      </c>
      <c r="C24" s="80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81">
        <f>'Seznam OM'!R27+'Seznam OM'!W27</f>
        <v>0</v>
      </c>
      <c r="P24" s="80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9">
        <f>'Seznam OM'!S27+'Seznam OM'!X27</f>
        <v>0</v>
      </c>
      <c r="AC24" s="80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81"/>
      <c r="AP24" s="80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9">
        <f t="shared" si="2"/>
        <v>0</v>
      </c>
      <c r="BC24" s="80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9">
        <f t="shared" si="3"/>
        <v>0</v>
      </c>
      <c r="BP24">
        <f>'Spotřeba zemního plynu'!BB24</f>
        <v>0</v>
      </c>
    </row>
    <row r="25" spans="1:68" x14ac:dyDescent="0.3">
      <c r="A25" s="110" t="s">
        <v>79</v>
      </c>
      <c r="B25" s="85" t="s">
        <v>80</v>
      </c>
      <c r="C25" s="80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81">
        <f>'Seznam OM'!R28+'Seznam OM'!W28</f>
        <v>0</v>
      </c>
      <c r="P25" s="80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9">
        <f>'Seznam OM'!S28+'Seznam OM'!X28</f>
        <v>0</v>
      </c>
      <c r="AC25" s="80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81"/>
      <c r="AP25" s="80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9">
        <f t="shared" si="2"/>
        <v>0</v>
      </c>
      <c r="BC25" s="80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9">
        <f t="shared" si="3"/>
        <v>0</v>
      </c>
      <c r="BP25">
        <f>'Spotřeba zemního plynu'!BB25</f>
        <v>0</v>
      </c>
    </row>
    <row r="26" spans="1:68" x14ac:dyDescent="0.3">
      <c r="A26" s="110" t="s">
        <v>82</v>
      </c>
      <c r="B26" s="85" t="s">
        <v>83</v>
      </c>
      <c r="C26" s="80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81">
        <f>'Seznam OM'!R29+'Seznam OM'!W29</f>
        <v>0</v>
      </c>
      <c r="P26" s="80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9">
        <f>'Seznam OM'!S29+'Seznam OM'!X29</f>
        <v>0</v>
      </c>
      <c r="AC26" s="80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81"/>
      <c r="AP26" s="80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9">
        <f t="shared" si="2"/>
        <v>0</v>
      </c>
      <c r="BC26" s="80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9">
        <f t="shared" si="3"/>
        <v>0</v>
      </c>
      <c r="BP26">
        <f>'Spotřeba zemního plynu'!BB26</f>
        <v>0</v>
      </c>
    </row>
    <row r="27" spans="1:68" x14ac:dyDescent="0.3">
      <c r="A27" s="93" t="s">
        <v>85</v>
      </c>
      <c r="B27" s="101" t="s">
        <v>86</v>
      </c>
      <c r="C27" s="80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81">
        <f>'Seznam OM'!R30+'Seznam OM'!W30</f>
        <v>329.99799999999999</v>
      </c>
      <c r="P27" s="80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9">
        <f>'Seznam OM'!S30+'Seznam OM'!X30</f>
        <v>0</v>
      </c>
      <c r="AC27" s="80">
        <v>69</v>
      </c>
      <c r="AD27" s="73">
        <v>40</v>
      </c>
      <c r="AE27" s="73">
        <v>33</v>
      </c>
      <c r="AF27" s="73">
        <v>12</v>
      </c>
      <c r="AG27" s="73">
        <v>9</v>
      </c>
      <c r="AH27" s="73">
        <v>7</v>
      </c>
      <c r="AI27" s="73">
        <v>8</v>
      </c>
      <c r="AJ27" s="73">
        <v>6</v>
      </c>
      <c r="AK27" s="73">
        <v>11</v>
      </c>
      <c r="AL27" s="73">
        <v>26</v>
      </c>
      <c r="AM27" s="73">
        <v>39</v>
      </c>
      <c r="AN27" s="73">
        <v>48</v>
      </c>
      <c r="AO27" s="81">
        <v>308</v>
      </c>
      <c r="AP27" s="80">
        <v>56</v>
      </c>
      <c r="AQ27" s="73">
        <v>48</v>
      </c>
      <c r="AR27" s="73">
        <v>40</v>
      </c>
      <c r="AS27" s="73">
        <v>31</v>
      </c>
      <c r="AT27" s="73">
        <v>19</v>
      </c>
      <c r="AU27" s="73">
        <v>9</v>
      </c>
      <c r="AV27" s="73">
        <v>7</v>
      </c>
      <c r="AW27" s="73">
        <v>7</v>
      </c>
      <c r="AX27" s="73">
        <v>9</v>
      </c>
      <c r="AY27" s="73">
        <v>26</v>
      </c>
      <c r="AZ27" s="73">
        <v>41</v>
      </c>
      <c r="BA27" s="73">
        <v>48</v>
      </c>
      <c r="BB27" s="79">
        <f t="shared" si="2"/>
        <v>324.5</v>
      </c>
      <c r="BC27" s="80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9">
        <f t="shared" si="3"/>
        <v>170.5</v>
      </c>
      <c r="BP27">
        <f>'Spotřeba zemního plynu'!BB27</f>
        <v>0</v>
      </c>
    </row>
    <row r="28" spans="1:68" x14ac:dyDescent="0.3">
      <c r="A28" s="93" t="s">
        <v>47</v>
      </c>
      <c r="B28" s="101" t="s">
        <v>88</v>
      </c>
      <c r="C28" s="80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81">
        <f>'Seznam OM'!R31+'Seznam OM'!W31</f>
        <v>174.99799999999999</v>
      </c>
      <c r="P28" s="80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9">
        <f>'Seznam OM'!S31+'Seznam OM'!X31</f>
        <v>182.99799999999999</v>
      </c>
      <c r="AC28" s="80">
        <v>44</v>
      </c>
      <c r="AD28" s="73">
        <v>25</v>
      </c>
      <c r="AE28" s="73">
        <v>30</v>
      </c>
      <c r="AF28" s="73">
        <v>18</v>
      </c>
      <c r="AG28" s="73">
        <v>13</v>
      </c>
      <c r="AH28" s="73">
        <v>0</v>
      </c>
      <c r="AI28" s="73">
        <v>0</v>
      </c>
      <c r="AJ28" s="73">
        <v>0</v>
      </c>
      <c r="AK28" s="73">
        <v>2</v>
      </c>
      <c r="AL28" s="73">
        <v>20</v>
      </c>
      <c r="AM28" s="73">
        <v>29</v>
      </c>
      <c r="AN28" s="73">
        <v>32</v>
      </c>
      <c r="AO28" s="81">
        <v>213</v>
      </c>
      <c r="AP28" s="80">
        <v>40</v>
      </c>
      <c r="AQ28" s="73">
        <v>35</v>
      </c>
      <c r="AR28" s="73">
        <v>33</v>
      </c>
      <c r="AS28" s="73">
        <v>23</v>
      </c>
      <c r="AT28" s="73">
        <v>12</v>
      </c>
      <c r="AU28" s="73">
        <v>0</v>
      </c>
      <c r="AV28" s="73">
        <v>0</v>
      </c>
      <c r="AW28" s="73">
        <v>0</v>
      </c>
      <c r="AX28" s="73">
        <v>4</v>
      </c>
      <c r="AY28" s="73">
        <v>20</v>
      </c>
      <c r="AZ28" s="73">
        <v>27</v>
      </c>
      <c r="BA28" s="73">
        <v>32</v>
      </c>
      <c r="BB28" s="79">
        <f t="shared" si="2"/>
        <v>219.5</v>
      </c>
      <c r="BC28" s="80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9">
        <f t="shared" si="3"/>
        <v>113</v>
      </c>
      <c r="BP28">
        <f>'Spotřeba zemního plynu'!BB28</f>
        <v>0</v>
      </c>
    </row>
    <row r="29" spans="1:68" x14ac:dyDescent="0.3">
      <c r="A29" s="111" t="s">
        <v>53</v>
      </c>
      <c r="B29" s="85" t="s">
        <v>90</v>
      </c>
      <c r="C29" s="80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81">
        <f>'Seznam OM'!R32+'Seznam OM'!W32</f>
        <v>0</v>
      </c>
      <c r="P29" s="80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9">
        <f>'Seznam OM'!S32+'Seznam OM'!X32</f>
        <v>0</v>
      </c>
      <c r="AC29" s="80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81"/>
      <c r="AP29" s="80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9">
        <f t="shared" si="2"/>
        <v>0</v>
      </c>
      <c r="BC29" s="80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9">
        <f t="shared" si="3"/>
        <v>0</v>
      </c>
      <c r="BP29">
        <f>'Spotřeba zemního plynu'!BB29</f>
        <v>0</v>
      </c>
    </row>
    <row r="30" spans="1:68" x14ac:dyDescent="0.3">
      <c r="A30" s="110" t="s">
        <v>92</v>
      </c>
      <c r="B30" s="85" t="s">
        <v>93</v>
      </c>
      <c r="C30" s="80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81">
        <f>'Seznam OM'!R33+'Seznam OM'!W33</f>
        <v>0</v>
      </c>
      <c r="P30" s="80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9">
        <f>'Seznam OM'!S33+'Seznam OM'!X33</f>
        <v>0</v>
      </c>
      <c r="AC30" s="80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81"/>
      <c r="AP30" s="80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9">
        <f t="shared" si="2"/>
        <v>0</v>
      </c>
      <c r="BC30" s="80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9">
        <f t="shared" si="3"/>
        <v>0</v>
      </c>
      <c r="BP30">
        <f>'Spotřeba zemního plynu'!BB30</f>
        <v>0</v>
      </c>
    </row>
    <row r="31" spans="1:68" x14ac:dyDescent="0.3">
      <c r="A31" s="93" t="s">
        <v>95</v>
      </c>
      <c r="B31" s="101" t="s">
        <v>96</v>
      </c>
      <c r="C31" s="80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81">
        <f>'Seznam OM'!R34+'Seznam OM'!W34</f>
        <v>0</v>
      </c>
      <c r="P31" s="80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9">
        <f>'Seznam OM'!S34+'Seznam OM'!X34</f>
        <v>0</v>
      </c>
      <c r="AC31" s="80">
        <v>126</v>
      </c>
      <c r="AD31" s="73">
        <v>92</v>
      </c>
      <c r="AE31" s="73">
        <v>92</v>
      </c>
      <c r="AF31" s="73">
        <v>43</v>
      </c>
      <c r="AG31" s="73">
        <v>15</v>
      </c>
      <c r="AH31" s="73">
        <v>14</v>
      </c>
      <c r="AI31" s="73">
        <v>12</v>
      </c>
      <c r="AJ31" s="73">
        <v>12</v>
      </c>
      <c r="AK31" s="73">
        <v>20</v>
      </c>
      <c r="AL31" s="73">
        <v>64</v>
      </c>
      <c r="AM31" s="73">
        <v>88</v>
      </c>
      <c r="AN31" s="73">
        <v>111</v>
      </c>
      <c r="AO31" s="81">
        <v>689</v>
      </c>
      <c r="AP31" s="80">
        <v>132</v>
      </c>
      <c r="AQ31" s="73">
        <v>114</v>
      </c>
      <c r="AR31" s="73">
        <v>86</v>
      </c>
      <c r="AS31" s="73">
        <v>83</v>
      </c>
      <c r="AT31" s="73">
        <v>41</v>
      </c>
      <c r="AU31" s="73">
        <v>14</v>
      </c>
      <c r="AV31" s="73">
        <v>12</v>
      </c>
      <c r="AW31" s="73">
        <v>9</v>
      </c>
      <c r="AX31" s="73">
        <v>17</v>
      </c>
      <c r="AY31" s="73">
        <v>72</v>
      </c>
      <c r="AZ31" s="73">
        <v>115</v>
      </c>
      <c r="BA31" s="73">
        <v>119</v>
      </c>
      <c r="BB31" s="79">
        <f t="shared" si="2"/>
        <v>751.5</v>
      </c>
      <c r="BC31" s="80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9">
        <f t="shared" si="3"/>
        <v>407</v>
      </c>
      <c r="BP31">
        <f>'Spotřeba zemního plynu'!BB31</f>
        <v>0</v>
      </c>
    </row>
    <row r="32" spans="1:68" x14ac:dyDescent="0.3">
      <c r="A32" s="111" t="s">
        <v>53</v>
      </c>
      <c r="B32" s="85" t="s">
        <v>98</v>
      </c>
      <c r="C32" s="80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81">
        <f>'Seznam OM'!R35+'Seznam OM'!W35</f>
        <v>0</v>
      </c>
      <c r="P32" s="80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9">
        <f>'Seznam OM'!S35+'Seznam OM'!X35</f>
        <v>0</v>
      </c>
      <c r="AC32" s="80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81"/>
      <c r="AP32" s="80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9">
        <f t="shared" si="2"/>
        <v>0</v>
      </c>
      <c r="BC32" s="80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9">
        <f t="shared" si="3"/>
        <v>0</v>
      </c>
      <c r="BP32">
        <f>'Spotřeba zemního plynu'!BB32</f>
        <v>0</v>
      </c>
    </row>
    <row r="33" spans="1:68" x14ac:dyDescent="0.3">
      <c r="A33" s="110" t="s">
        <v>65</v>
      </c>
      <c r="B33" s="85" t="s">
        <v>100</v>
      </c>
      <c r="C33" s="80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81">
        <f>'Seznam OM'!R36+'Seznam OM'!W36</f>
        <v>0</v>
      </c>
      <c r="P33" s="80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9">
        <f>'Seznam OM'!S36+'Seznam OM'!X36</f>
        <v>0</v>
      </c>
      <c r="AC33" s="80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81"/>
      <c r="AP33" s="80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9">
        <f t="shared" si="2"/>
        <v>0</v>
      </c>
      <c r="BC33" s="80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9">
        <f t="shared" si="3"/>
        <v>0</v>
      </c>
      <c r="BP33">
        <f>'Spotřeba zemního plynu'!BB33</f>
        <v>0</v>
      </c>
    </row>
    <row r="34" spans="1:68" x14ac:dyDescent="0.3">
      <c r="A34" s="93" t="s">
        <v>102</v>
      </c>
      <c r="B34" s="101" t="s">
        <v>103</v>
      </c>
      <c r="C34" s="80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81">
        <f>'Seznam OM'!R37+'Seznam OM'!W37</f>
        <v>1449.8130000000001</v>
      </c>
      <c r="P34" s="80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9">
        <f>'Seznam OM'!S37+'Seznam OM'!X37</f>
        <v>0</v>
      </c>
      <c r="AC34" s="80">
        <v>246</v>
      </c>
      <c r="AD34" s="73">
        <v>171</v>
      </c>
      <c r="AE34" s="73">
        <v>174</v>
      </c>
      <c r="AF34" s="73">
        <v>102</v>
      </c>
      <c r="AG34" s="73">
        <v>90</v>
      </c>
      <c r="AH34" s="73">
        <v>29</v>
      </c>
      <c r="AI34" s="73">
        <v>45</v>
      </c>
      <c r="AJ34" s="73">
        <v>46</v>
      </c>
      <c r="AK34" s="73">
        <v>58</v>
      </c>
      <c r="AL34" s="73">
        <v>125</v>
      </c>
      <c r="AM34" s="73">
        <v>199</v>
      </c>
      <c r="AN34" s="73">
        <v>240</v>
      </c>
      <c r="AO34" s="81">
        <v>1524</v>
      </c>
      <c r="AP34" s="80">
        <v>244</v>
      </c>
      <c r="AQ34" s="73">
        <v>219</v>
      </c>
      <c r="AR34" s="73">
        <v>205</v>
      </c>
      <c r="AS34" s="73">
        <v>149</v>
      </c>
      <c r="AT34" s="73">
        <v>93</v>
      </c>
      <c r="AU34" s="73">
        <v>45</v>
      </c>
      <c r="AV34" s="73">
        <v>26</v>
      </c>
      <c r="AW34" s="73">
        <v>43</v>
      </c>
      <c r="AX34" s="73">
        <v>59</v>
      </c>
      <c r="AY34" s="73">
        <v>130</v>
      </c>
      <c r="AZ34" s="73">
        <v>192</v>
      </c>
      <c r="BA34" s="73">
        <v>239</v>
      </c>
      <c r="BB34" s="79">
        <f t="shared" si="2"/>
        <v>1584.5</v>
      </c>
      <c r="BC34" s="80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9">
        <f t="shared" si="3"/>
        <v>822</v>
      </c>
      <c r="BP34">
        <f>'Spotřeba zemního plynu'!BB34</f>
        <v>506</v>
      </c>
    </row>
    <row r="35" spans="1:68" x14ac:dyDescent="0.3">
      <c r="A35" s="110" t="s">
        <v>105</v>
      </c>
      <c r="B35" s="85" t="s">
        <v>106</v>
      </c>
      <c r="C35" s="80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81">
        <f>'Seznam OM'!R38+'Seznam OM'!W38</f>
        <v>0</v>
      </c>
      <c r="P35" s="80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9">
        <f>'Seznam OM'!S38+'Seznam OM'!X38</f>
        <v>0</v>
      </c>
      <c r="AC35" s="80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81"/>
      <c r="AP35" s="80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9">
        <f t="shared" si="2"/>
        <v>0</v>
      </c>
      <c r="BC35" s="80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9">
        <f t="shared" si="3"/>
        <v>0</v>
      </c>
      <c r="BP35">
        <f>'Spotřeba zemního plynu'!BB35</f>
        <v>0</v>
      </c>
    </row>
    <row r="36" spans="1:68" x14ac:dyDescent="0.3">
      <c r="A36" s="110" t="s">
        <v>108</v>
      </c>
      <c r="B36" s="85" t="s">
        <v>109</v>
      </c>
      <c r="C36" s="80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81">
        <f>'Seznam OM'!R39+'Seznam OM'!W39</f>
        <v>0</v>
      </c>
      <c r="P36" s="80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9">
        <f>'Seznam OM'!S39+'Seznam OM'!X39</f>
        <v>0</v>
      </c>
      <c r="AC36" s="80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81"/>
      <c r="AP36" s="80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9">
        <f t="shared" si="2"/>
        <v>0</v>
      </c>
      <c r="BC36" s="80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9">
        <f t="shared" si="3"/>
        <v>0</v>
      </c>
      <c r="BP36">
        <f>'Spotřeba zemního plynu'!BB36</f>
        <v>0</v>
      </c>
    </row>
    <row r="37" spans="1:68" x14ac:dyDescent="0.3">
      <c r="A37" s="93" t="s">
        <v>111</v>
      </c>
      <c r="B37" s="101" t="s">
        <v>112</v>
      </c>
      <c r="C37" s="80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81">
        <f>'Seznam OM'!R40+'Seznam OM'!W40</f>
        <v>0</v>
      </c>
      <c r="P37" s="80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9">
        <f>'Seznam OM'!S40+'Seznam OM'!X40</f>
        <v>0</v>
      </c>
      <c r="AC37" s="80">
        <v>65</v>
      </c>
      <c r="AD37" s="73">
        <v>43</v>
      </c>
      <c r="AE37" s="73">
        <v>24</v>
      </c>
      <c r="AF37" s="73">
        <v>3</v>
      </c>
      <c r="AG37" s="73">
        <v>2</v>
      </c>
      <c r="AH37" s="73">
        <v>3</v>
      </c>
      <c r="AI37" s="73">
        <v>3</v>
      </c>
      <c r="AJ37" s="73">
        <v>1</v>
      </c>
      <c r="AK37" s="73">
        <v>5</v>
      </c>
      <c r="AL37" s="73">
        <v>27</v>
      </c>
      <c r="AM37" s="73">
        <v>49</v>
      </c>
      <c r="AN37" s="73">
        <v>50</v>
      </c>
      <c r="AO37" s="81">
        <v>275</v>
      </c>
      <c r="AP37" s="80">
        <v>66</v>
      </c>
      <c r="AQ37" s="73">
        <v>61</v>
      </c>
      <c r="AR37" s="73">
        <v>5</v>
      </c>
      <c r="AS37" s="73">
        <v>32</v>
      </c>
      <c r="AT37" s="73">
        <v>17</v>
      </c>
      <c r="AU37" s="73">
        <v>5</v>
      </c>
      <c r="AV37" s="73">
        <v>2</v>
      </c>
      <c r="AW37" s="73">
        <v>2</v>
      </c>
      <c r="AX37" s="73">
        <v>6</v>
      </c>
      <c r="AY37" s="73">
        <v>25</v>
      </c>
      <c r="AZ37" s="73">
        <v>49</v>
      </c>
      <c r="BA37" s="73">
        <v>59</v>
      </c>
      <c r="BB37" s="79">
        <f t="shared" si="2"/>
        <v>302</v>
      </c>
      <c r="BC37" s="80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9">
        <f t="shared" si="3"/>
        <v>164.5</v>
      </c>
      <c r="BP37">
        <f>'Spotřeba zemního plynu'!BB37</f>
        <v>0</v>
      </c>
    </row>
    <row r="38" spans="1:68" x14ac:dyDescent="0.3">
      <c r="A38" s="110" t="s">
        <v>108</v>
      </c>
      <c r="B38" s="85" t="s">
        <v>114</v>
      </c>
      <c r="C38" s="80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81">
        <f>'Seznam OM'!R41+'Seznam OM'!W41</f>
        <v>0</v>
      </c>
      <c r="P38" s="80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9">
        <f>'Seznam OM'!S41+'Seznam OM'!X41</f>
        <v>0</v>
      </c>
      <c r="AC38" s="80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81"/>
      <c r="AP38" s="80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9">
        <f t="shared" si="2"/>
        <v>0</v>
      </c>
      <c r="BC38" s="80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9">
        <f t="shared" si="3"/>
        <v>0</v>
      </c>
      <c r="BP38">
        <f>'Spotřeba zemního plynu'!BB38</f>
        <v>0</v>
      </c>
    </row>
    <row r="39" spans="1:68" x14ac:dyDescent="0.3">
      <c r="A39" s="110" t="s">
        <v>108</v>
      </c>
      <c r="B39" s="85" t="s">
        <v>116</v>
      </c>
      <c r="C39" s="80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81">
        <f>'Seznam OM'!R42+'Seznam OM'!W42</f>
        <v>0</v>
      </c>
      <c r="P39" s="80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9">
        <f>'Seznam OM'!S42+'Seznam OM'!X42</f>
        <v>0</v>
      </c>
      <c r="AC39" s="80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81"/>
      <c r="AP39" s="80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9">
        <f t="shared" si="2"/>
        <v>0</v>
      </c>
      <c r="BC39" s="80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9">
        <f t="shared" si="3"/>
        <v>0</v>
      </c>
      <c r="BP39">
        <f>'Spotřeba zemního plynu'!BB39</f>
        <v>0</v>
      </c>
    </row>
    <row r="40" spans="1:68" x14ac:dyDescent="0.3">
      <c r="A40" s="93" t="s">
        <v>68</v>
      </c>
      <c r="B40" s="101" t="s">
        <v>118</v>
      </c>
      <c r="C40" s="80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81">
        <f>'Seznam OM'!R43+'Seznam OM'!W43</f>
        <v>169.99799999999999</v>
      </c>
      <c r="P40" s="80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9">
        <f>'Seznam OM'!S43+'Seznam OM'!X43</f>
        <v>262.99799999999999</v>
      </c>
      <c r="AC40" s="80">
        <v>54</v>
      </c>
      <c r="AD40" s="73">
        <v>49</v>
      </c>
      <c r="AE40" s="73">
        <v>49</v>
      </c>
      <c r="AF40" s="73">
        <v>21</v>
      </c>
      <c r="AG40" s="73">
        <v>16</v>
      </c>
      <c r="AH40" s="73">
        <v>6</v>
      </c>
      <c r="AI40" s="73">
        <v>6</v>
      </c>
      <c r="AJ40" s="73">
        <v>6</v>
      </c>
      <c r="AK40" s="73">
        <v>7</v>
      </c>
      <c r="AL40" s="73">
        <v>35</v>
      </c>
      <c r="AM40" s="73">
        <v>52</v>
      </c>
      <c r="AN40" s="73">
        <v>67</v>
      </c>
      <c r="AO40" s="81">
        <v>368</v>
      </c>
      <c r="AP40" s="80">
        <v>61</v>
      </c>
      <c r="AQ40" s="73">
        <v>61</v>
      </c>
      <c r="AR40" s="73">
        <v>53</v>
      </c>
      <c r="AS40" s="73">
        <v>40</v>
      </c>
      <c r="AT40" s="73">
        <v>25</v>
      </c>
      <c r="AU40" s="73">
        <v>4</v>
      </c>
      <c r="AV40" s="73">
        <v>5</v>
      </c>
      <c r="AW40" s="73">
        <v>5</v>
      </c>
      <c r="AX40" s="73">
        <v>7</v>
      </c>
      <c r="AY40" s="73">
        <v>35</v>
      </c>
      <c r="AZ40" s="73">
        <v>50</v>
      </c>
      <c r="BA40" s="73">
        <v>57</v>
      </c>
      <c r="BB40" s="79">
        <f t="shared" si="2"/>
        <v>385.5</v>
      </c>
      <c r="BC40" s="80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9">
        <f t="shared" si="3"/>
        <v>201.5</v>
      </c>
      <c r="BP40">
        <f>'Spotřeba zemního plynu'!BB40</f>
        <v>0</v>
      </c>
    </row>
    <row r="41" spans="1:68" x14ac:dyDescent="0.3">
      <c r="A41" s="93" t="s">
        <v>120</v>
      </c>
      <c r="B41" s="101" t="s">
        <v>121</v>
      </c>
      <c r="C41" s="80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81">
        <f>'Seznam OM'!R44+'Seznam OM'!W44</f>
        <v>0</v>
      </c>
      <c r="P41" s="80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9">
        <f>'Seznam OM'!S44+'Seznam OM'!X44</f>
        <v>0</v>
      </c>
      <c r="AC41" s="80">
        <v>133</v>
      </c>
      <c r="AD41" s="73">
        <v>80</v>
      </c>
      <c r="AE41" s="73">
        <v>84</v>
      </c>
      <c r="AF41" s="73">
        <v>38</v>
      </c>
      <c r="AG41" s="73">
        <v>15</v>
      </c>
      <c r="AH41" s="73">
        <v>0</v>
      </c>
      <c r="AI41" s="73">
        <v>0</v>
      </c>
      <c r="AJ41" s="73">
        <v>0</v>
      </c>
      <c r="AK41" s="73">
        <v>3</v>
      </c>
      <c r="AL41" s="73">
        <v>63</v>
      </c>
      <c r="AM41" s="73">
        <v>90</v>
      </c>
      <c r="AN41" s="73">
        <v>115</v>
      </c>
      <c r="AO41" s="81">
        <v>620</v>
      </c>
      <c r="AP41" s="80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9">
        <f t="shared" si="2"/>
        <v>310.5</v>
      </c>
      <c r="BC41" s="80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9">
        <f t="shared" si="3"/>
        <v>0</v>
      </c>
      <c r="BP41">
        <f>'Spotřeba zemního plynu'!BB41</f>
        <v>216.5</v>
      </c>
    </row>
    <row r="42" spans="1:68" x14ac:dyDescent="0.3">
      <c r="A42" s="110" t="s">
        <v>108</v>
      </c>
      <c r="B42" s="85" t="s">
        <v>123</v>
      </c>
      <c r="C42" s="80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81">
        <f>'Seznam OM'!R45+'Seznam OM'!W45</f>
        <v>0</v>
      </c>
      <c r="P42" s="80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9">
        <f>'Seznam OM'!S45+'Seznam OM'!X45</f>
        <v>0</v>
      </c>
      <c r="AC42" s="80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81"/>
      <c r="AP42" s="80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9">
        <f t="shared" si="2"/>
        <v>0</v>
      </c>
      <c r="BC42" s="80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9">
        <f t="shared" si="3"/>
        <v>0</v>
      </c>
      <c r="BP42">
        <f>'Spotřeba zemního plynu'!BB42</f>
        <v>0</v>
      </c>
    </row>
    <row r="43" spans="1:68" x14ac:dyDescent="0.3">
      <c r="A43" s="93" t="s">
        <v>108</v>
      </c>
      <c r="B43" s="101" t="s">
        <v>125</v>
      </c>
      <c r="C43" s="80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81">
        <f>'Seznam OM'!R46+'Seznam OM'!W46</f>
        <v>0</v>
      </c>
      <c r="P43" s="80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9">
        <f>'Seznam OM'!S46+'Seznam OM'!X46</f>
        <v>0</v>
      </c>
      <c r="AC43" s="80">
        <v>56</v>
      </c>
      <c r="AD43" s="73">
        <v>37</v>
      </c>
      <c r="AE43" s="73">
        <v>34</v>
      </c>
      <c r="AF43" s="73">
        <v>17</v>
      </c>
      <c r="AG43" s="73">
        <v>10</v>
      </c>
      <c r="AH43" s="73">
        <v>0</v>
      </c>
      <c r="AI43" s="73">
        <v>0</v>
      </c>
      <c r="AJ43" s="73">
        <v>0</v>
      </c>
      <c r="AK43" s="73">
        <v>1</v>
      </c>
      <c r="AL43" s="73">
        <v>21</v>
      </c>
      <c r="AM43" s="73">
        <v>37</v>
      </c>
      <c r="AN43" s="73">
        <v>44</v>
      </c>
      <c r="AO43" s="81">
        <v>257</v>
      </c>
      <c r="AP43" s="80">
        <v>49</v>
      </c>
      <c r="AQ43" s="73">
        <v>48</v>
      </c>
      <c r="AR43" s="73">
        <v>41</v>
      </c>
      <c r="AS43" s="73">
        <v>27</v>
      </c>
      <c r="AT43" s="73">
        <v>12</v>
      </c>
      <c r="AU43" s="73">
        <v>0</v>
      </c>
      <c r="AV43" s="73">
        <v>0</v>
      </c>
      <c r="AW43" s="73">
        <v>0</v>
      </c>
      <c r="AX43" s="73">
        <v>4</v>
      </c>
      <c r="AY43" s="73">
        <v>23</v>
      </c>
      <c r="AZ43" s="73">
        <v>36</v>
      </c>
      <c r="BA43" s="73">
        <v>50</v>
      </c>
      <c r="BB43" s="79">
        <f t="shared" si="2"/>
        <v>273.5</v>
      </c>
      <c r="BC43" s="80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9">
        <f t="shared" si="3"/>
        <v>145</v>
      </c>
      <c r="BP43">
        <f>'Spotřeba zemního plynu'!BB43</f>
        <v>93.5</v>
      </c>
    </row>
    <row r="44" spans="1:68" x14ac:dyDescent="0.3">
      <c r="A44" s="110" t="s">
        <v>108</v>
      </c>
      <c r="B44" s="85" t="s">
        <v>127</v>
      </c>
      <c r="C44" s="80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81">
        <f>'Seznam OM'!R47+'Seznam OM'!W47</f>
        <v>0</v>
      </c>
      <c r="P44" s="80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9">
        <f>'Seznam OM'!S47+'Seznam OM'!X47</f>
        <v>0</v>
      </c>
      <c r="AC44" s="80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81"/>
      <c r="AP44" s="80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9">
        <f t="shared" si="2"/>
        <v>0</v>
      </c>
      <c r="BC44" s="80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9">
        <f t="shared" si="3"/>
        <v>0</v>
      </c>
      <c r="BP44">
        <f>'Spotřeba zemního plynu'!BB44</f>
        <v>0</v>
      </c>
    </row>
    <row r="45" spans="1:68" x14ac:dyDescent="0.3">
      <c r="A45" s="110" t="s">
        <v>129</v>
      </c>
      <c r="B45" s="85" t="s">
        <v>130</v>
      </c>
      <c r="C45" s="80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81">
        <f>'Seznam OM'!R48+'Seznam OM'!W48</f>
        <v>0</v>
      </c>
      <c r="P45" s="80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9">
        <f>'Seznam OM'!S48+'Seznam OM'!X48</f>
        <v>0</v>
      </c>
      <c r="AC45" s="80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81"/>
      <c r="AP45" s="80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9">
        <f t="shared" si="2"/>
        <v>0</v>
      </c>
      <c r="BC45" s="80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9">
        <f t="shared" si="3"/>
        <v>0</v>
      </c>
      <c r="BP45">
        <f>'Spotřeba zemního plynu'!BB45</f>
        <v>0</v>
      </c>
    </row>
    <row r="46" spans="1:68" x14ac:dyDescent="0.3">
      <c r="A46" s="74" t="s">
        <v>132</v>
      </c>
      <c r="B46" s="85" t="s">
        <v>133</v>
      </c>
      <c r="C46" s="80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81">
        <f>'Seznam OM'!R49+'Seznam OM'!W49</f>
        <v>0</v>
      </c>
      <c r="P46" s="80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9">
        <f>'Seznam OM'!S49+'Seznam OM'!X49</f>
        <v>0</v>
      </c>
      <c r="AC46" s="80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81"/>
      <c r="AP46" s="80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9">
        <f t="shared" si="2"/>
        <v>0</v>
      </c>
      <c r="BC46" s="80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9">
        <f t="shared" si="3"/>
        <v>0</v>
      </c>
      <c r="BP46">
        <f>'Spotřeba zemního plynu'!BB46</f>
        <v>57</v>
      </c>
    </row>
    <row r="47" spans="1:68" x14ac:dyDescent="0.3">
      <c r="A47" s="110" t="s">
        <v>108</v>
      </c>
      <c r="B47" s="85" t="s">
        <v>135</v>
      </c>
      <c r="C47" s="80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81">
        <f>'Seznam OM'!R50+'Seznam OM'!W50</f>
        <v>0</v>
      </c>
      <c r="P47" s="80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9">
        <f>'Seznam OM'!S50+'Seznam OM'!X50</f>
        <v>0</v>
      </c>
      <c r="AC47" s="80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81"/>
      <c r="AP47" s="80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9">
        <f t="shared" si="2"/>
        <v>0</v>
      </c>
      <c r="BC47" s="80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9">
        <f t="shared" si="3"/>
        <v>0</v>
      </c>
      <c r="BP47">
        <f>'Spotřeba zemního plynu'!BB47</f>
        <v>0</v>
      </c>
    </row>
    <row r="48" spans="1:68" x14ac:dyDescent="0.3">
      <c r="A48" s="110" t="s">
        <v>82</v>
      </c>
      <c r="B48" s="85" t="s">
        <v>137</v>
      </c>
      <c r="C48" s="80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81">
        <f>'Seznam OM'!R51+'Seznam OM'!W51</f>
        <v>0</v>
      </c>
      <c r="P48" s="80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9">
        <f>'Seznam OM'!S51+'Seznam OM'!X51</f>
        <v>0</v>
      </c>
      <c r="AC48" s="80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81"/>
      <c r="AP48" s="80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9">
        <f t="shared" si="2"/>
        <v>0</v>
      </c>
      <c r="BC48" s="80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9">
        <f t="shared" si="3"/>
        <v>0</v>
      </c>
      <c r="BP48">
        <f>'Spotřeba zemního plynu'!BB48</f>
        <v>0</v>
      </c>
    </row>
    <row r="49" spans="1:68" x14ac:dyDescent="0.3">
      <c r="A49" s="110" t="s">
        <v>108</v>
      </c>
      <c r="B49" s="85" t="s">
        <v>139</v>
      </c>
      <c r="C49" s="80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81">
        <f>'Seznam OM'!R52+'Seznam OM'!W52</f>
        <v>0</v>
      </c>
      <c r="P49" s="80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9">
        <f>'Seznam OM'!S52+'Seznam OM'!X52</f>
        <v>0</v>
      </c>
      <c r="AC49" s="80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81"/>
      <c r="AP49" s="80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9">
        <f t="shared" si="2"/>
        <v>0</v>
      </c>
      <c r="BC49" s="80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9">
        <f t="shared" si="3"/>
        <v>0</v>
      </c>
      <c r="BP49">
        <f>'Spotřeba zemního plynu'!BB49</f>
        <v>0</v>
      </c>
    </row>
    <row r="50" spans="1:68" x14ac:dyDescent="0.3">
      <c r="A50" s="110" t="s">
        <v>108</v>
      </c>
      <c r="B50" s="85" t="s">
        <v>141</v>
      </c>
      <c r="C50" s="80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81">
        <f>'Seznam OM'!R53+'Seznam OM'!W53</f>
        <v>0</v>
      </c>
      <c r="P50" s="80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9">
        <f>'Seznam OM'!S53+'Seznam OM'!X53</f>
        <v>0</v>
      </c>
      <c r="AC50" s="80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81"/>
      <c r="AP50" s="80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9">
        <f t="shared" si="2"/>
        <v>0</v>
      </c>
      <c r="BC50" s="80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9">
        <f t="shared" si="3"/>
        <v>0</v>
      </c>
      <c r="BP50">
        <f>'Spotřeba zemního plynu'!BB50</f>
        <v>0</v>
      </c>
    </row>
    <row r="51" spans="1:68" x14ac:dyDescent="0.3">
      <c r="A51" s="110" t="s">
        <v>108</v>
      </c>
      <c r="B51" s="85" t="s">
        <v>143</v>
      </c>
      <c r="C51" s="80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81">
        <f>'Seznam OM'!R54+'Seznam OM'!W54</f>
        <v>0</v>
      </c>
      <c r="P51" s="80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9">
        <f>'Seznam OM'!S54+'Seznam OM'!X54</f>
        <v>0</v>
      </c>
      <c r="AC51" s="80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81"/>
      <c r="AP51" s="80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9">
        <f t="shared" si="2"/>
        <v>0</v>
      </c>
      <c r="BC51" s="80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9">
        <f t="shared" si="3"/>
        <v>0</v>
      </c>
      <c r="BP51">
        <f>'Spotřeba zemního plynu'!BB51</f>
        <v>0</v>
      </c>
    </row>
    <row r="52" spans="1:68" x14ac:dyDescent="0.3">
      <c r="A52" s="110" t="s">
        <v>108</v>
      </c>
      <c r="B52" s="85" t="s">
        <v>145</v>
      </c>
      <c r="C52" s="80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81">
        <f>'Seznam OM'!R55+'Seznam OM'!W55</f>
        <v>0</v>
      </c>
      <c r="P52" s="80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9">
        <f>'Seznam OM'!S55+'Seznam OM'!X55</f>
        <v>0</v>
      </c>
      <c r="AC52" s="80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81"/>
      <c r="AP52" s="80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9">
        <f t="shared" si="2"/>
        <v>0</v>
      </c>
      <c r="BC52" s="80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9">
        <f t="shared" si="3"/>
        <v>0</v>
      </c>
      <c r="BP52">
        <f>'Spotřeba zemního plynu'!BB52</f>
        <v>0</v>
      </c>
    </row>
    <row r="53" spans="1:68" x14ac:dyDescent="0.3">
      <c r="A53" s="93" t="s">
        <v>147</v>
      </c>
      <c r="B53" s="101" t="s">
        <v>148</v>
      </c>
      <c r="C53" s="80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81">
        <f>'Seznam OM'!R56+'Seznam OM'!W56</f>
        <v>80.668999999999997</v>
      </c>
      <c r="P53" s="80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9">
        <f>'Seznam OM'!S56+'Seznam OM'!X56</f>
        <v>0</v>
      </c>
      <c r="AC53" s="80">
        <v>14</v>
      </c>
      <c r="AD53" s="73">
        <v>9</v>
      </c>
      <c r="AE53" s="73">
        <v>8</v>
      </c>
      <c r="AF53" s="73">
        <v>2</v>
      </c>
      <c r="AG53" s="73">
        <v>1</v>
      </c>
      <c r="AH53" s="73">
        <v>1</v>
      </c>
      <c r="AI53" s="73">
        <v>1</v>
      </c>
      <c r="AJ53" s="73">
        <v>1</v>
      </c>
      <c r="AK53" s="73">
        <v>1</v>
      </c>
      <c r="AL53" s="73">
        <v>6</v>
      </c>
      <c r="AM53" s="73">
        <v>10</v>
      </c>
      <c r="AN53" s="73">
        <v>12</v>
      </c>
      <c r="AO53" s="81">
        <v>66</v>
      </c>
      <c r="AP53" s="80">
        <v>11</v>
      </c>
      <c r="AQ53" s="73">
        <v>12</v>
      </c>
      <c r="AR53" s="73">
        <v>10</v>
      </c>
      <c r="AS53" s="73">
        <v>6</v>
      </c>
      <c r="AT53" s="73">
        <v>1</v>
      </c>
      <c r="AU53" s="73">
        <v>1</v>
      </c>
      <c r="AV53" s="73">
        <v>1</v>
      </c>
      <c r="AW53" s="73">
        <v>1</v>
      </c>
      <c r="AX53" s="73">
        <v>1</v>
      </c>
      <c r="AY53" s="73">
        <v>3</v>
      </c>
      <c r="AZ53" s="73">
        <v>9</v>
      </c>
      <c r="BA53" s="73">
        <v>14</v>
      </c>
      <c r="BB53" s="79">
        <f t="shared" si="2"/>
        <v>68</v>
      </c>
      <c r="BC53" s="80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73"/>
      <c r="BO53" s="79">
        <f t="shared" si="3"/>
        <v>35</v>
      </c>
      <c r="BP53">
        <f>'Spotřeba zemního plynu'!BB53</f>
        <v>25</v>
      </c>
    </row>
    <row r="54" spans="1:68" x14ac:dyDescent="0.3">
      <c r="A54" s="110" t="s">
        <v>108</v>
      </c>
      <c r="B54" s="85" t="s">
        <v>150</v>
      </c>
      <c r="C54" s="80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81">
        <f>'Seznam OM'!R57+'Seznam OM'!W57</f>
        <v>0</v>
      </c>
      <c r="P54" s="80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9">
        <f>'Seznam OM'!S57+'Seznam OM'!X57</f>
        <v>0</v>
      </c>
      <c r="AC54" s="80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81"/>
      <c r="AP54" s="80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9">
        <f t="shared" si="2"/>
        <v>0</v>
      </c>
      <c r="BC54" s="80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9">
        <f t="shared" si="3"/>
        <v>0</v>
      </c>
      <c r="BP54">
        <f>'Spotřeba zemního plynu'!BB54</f>
        <v>0</v>
      </c>
    </row>
    <row r="55" spans="1:68" x14ac:dyDescent="0.3">
      <c r="A55" s="110" t="s">
        <v>108</v>
      </c>
      <c r="B55" s="85" t="s">
        <v>152</v>
      </c>
      <c r="C55" s="80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81">
        <f>'Seznam OM'!R58+'Seznam OM'!W58</f>
        <v>0</v>
      </c>
      <c r="P55" s="80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9">
        <f>'Seznam OM'!S58+'Seznam OM'!X58</f>
        <v>0</v>
      </c>
      <c r="AC55" s="80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81"/>
      <c r="AP55" s="80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9">
        <f t="shared" si="2"/>
        <v>0</v>
      </c>
      <c r="BC55" s="80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9">
        <f t="shared" si="3"/>
        <v>0</v>
      </c>
      <c r="BP55">
        <f>'Spotřeba zemního plynu'!BB55</f>
        <v>0</v>
      </c>
    </row>
    <row r="56" spans="1:68" x14ac:dyDescent="0.3">
      <c r="A56" s="93" t="s">
        <v>132</v>
      </c>
      <c r="B56" s="101" t="s">
        <v>154</v>
      </c>
      <c r="C56" s="80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81">
        <f>'Seznam OM'!R59+'Seznam OM'!W59</f>
        <v>0</v>
      </c>
      <c r="P56" s="80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9">
        <f>'Seznam OM'!S59+'Seznam OM'!X59</f>
        <v>0</v>
      </c>
      <c r="AC56" s="80">
        <v>42</v>
      </c>
      <c r="AD56" s="73">
        <v>38</v>
      </c>
      <c r="AE56" s="73">
        <v>25</v>
      </c>
      <c r="AF56" s="73">
        <v>33</v>
      </c>
      <c r="AG56" s="73">
        <v>14</v>
      </c>
      <c r="AH56" s="73">
        <v>3</v>
      </c>
      <c r="AI56" s="73">
        <v>3</v>
      </c>
      <c r="AJ56" s="73">
        <v>4</v>
      </c>
      <c r="AK56" s="73">
        <v>7</v>
      </c>
      <c r="AL56" s="73">
        <v>22</v>
      </c>
      <c r="AM56" s="73">
        <v>43</v>
      </c>
      <c r="AN56" s="73">
        <v>50</v>
      </c>
      <c r="AO56" s="81">
        <v>284</v>
      </c>
      <c r="AP56" s="80">
        <v>46</v>
      </c>
      <c r="AQ56" s="73">
        <v>48</v>
      </c>
      <c r="AR56" s="73">
        <v>30</v>
      </c>
      <c r="AS56" s="73">
        <v>31</v>
      </c>
      <c r="AT56" s="73">
        <v>16</v>
      </c>
      <c r="AU56" s="73">
        <v>4</v>
      </c>
      <c r="AV56" s="73">
        <v>3</v>
      </c>
      <c r="AW56" s="73">
        <v>3</v>
      </c>
      <c r="AX56" s="73">
        <v>7</v>
      </c>
      <c r="AY56" s="73">
        <v>28</v>
      </c>
      <c r="AZ56" s="73">
        <v>39</v>
      </c>
      <c r="BA56" s="73">
        <v>49</v>
      </c>
      <c r="BB56" s="79">
        <f t="shared" si="2"/>
        <v>294</v>
      </c>
      <c r="BC56" s="80"/>
      <c r="BD56" s="73"/>
      <c r="BE56" s="73"/>
      <c r="BF56" s="73"/>
      <c r="BG56" s="73"/>
      <c r="BH56" s="73"/>
      <c r="BI56" s="73"/>
      <c r="BJ56" s="73"/>
      <c r="BK56" s="73"/>
      <c r="BL56" s="73"/>
      <c r="BM56" s="73"/>
      <c r="BN56" s="73"/>
      <c r="BO56" s="79">
        <f t="shared" si="3"/>
        <v>152</v>
      </c>
      <c r="BP56">
        <f>'Spotřeba zemního plynu'!BB56</f>
        <v>0</v>
      </c>
    </row>
    <row r="57" spans="1:68" x14ac:dyDescent="0.3">
      <c r="A57" s="110" t="s">
        <v>82</v>
      </c>
      <c r="B57" s="85" t="s">
        <v>156</v>
      </c>
      <c r="C57" s="80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81">
        <f>'Seznam OM'!R60+'Seznam OM'!W60</f>
        <v>0</v>
      </c>
      <c r="P57" s="80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9">
        <f>'Seznam OM'!S60+'Seznam OM'!X60</f>
        <v>0</v>
      </c>
      <c r="AC57" s="80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81"/>
      <c r="AP57" s="80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9">
        <f t="shared" si="2"/>
        <v>0</v>
      </c>
      <c r="BC57" s="80"/>
      <c r="BD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79">
        <f t="shared" si="3"/>
        <v>0</v>
      </c>
      <c r="BP57">
        <f>'Spotřeba zemního plynu'!BB57</f>
        <v>0</v>
      </c>
    </row>
    <row r="58" spans="1:68" x14ac:dyDescent="0.3">
      <c r="A58" s="110" t="s">
        <v>108</v>
      </c>
      <c r="B58" s="85" t="s">
        <v>158</v>
      </c>
      <c r="C58" s="80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81">
        <f>'Seznam OM'!R61+'Seznam OM'!W61</f>
        <v>0</v>
      </c>
      <c r="P58" s="80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9">
        <f>'Seznam OM'!S61+'Seznam OM'!X61</f>
        <v>0</v>
      </c>
      <c r="AC58" s="80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81"/>
      <c r="AP58" s="80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9">
        <f t="shared" si="2"/>
        <v>0</v>
      </c>
      <c r="BC58" s="80"/>
      <c r="BD58" s="73"/>
      <c r="BE58" s="73"/>
      <c r="BF58" s="73"/>
      <c r="BG58" s="73"/>
      <c r="BH58" s="73"/>
      <c r="BI58" s="73"/>
      <c r="BJ58" s="73"/>
      <c r="BK58" s="73"/>
      <c r="BL58" s="73"/>
      <c r="BM58" s="73"/>
      <c r="BN58" s="73"/>
      <c r="BO58" s="79">
        <f t="shared" si="3"/>
        <v>0</v>
      </c>
      <c r="BP58">
        <f>'Spotřeba zemního plynu'!BB58</f>
        <v>0</v>
      </c>
    </row>
    <row r="59" spans="1:68" x14ac:dyDescent="0.3">
      <c r="A59" s="110" t="s">
        <v>108</v>
      </c>
      <c r="B59" s="85" t="s">
        <v>160</v>
      </c>
      <c r="C59" s="80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81">
        <f>'Seznam OM'!R62+'Seznam OM'!W62</f>
        <v>0</v>
      </c>
      <c r="P59" s="80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9">
        <f>'Seznam OM'!S62+'Seznam OM'!X62</f>
        <v>0</v>
      </c>
      <c r="AC59" s="80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81"/>
      <c r="AP59" s="80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9">
        <f t="shared" si="2"/>
        <v>0</v>
      </c>
      <c r="BC59" s="80"/>
      <c r="BD59" s="73"/>
      <c r="BE59" s="73"/>
      <c r="BF59" s="73"/>
      <c r="BG59" s="73"/>
      <c r="BH59" s="73"/>
      <c r="BI59" s="73"/>
      <c r="BJ59" s="73"/>
      <c r="BK59" s="73"/>
      <c r="BL59" s="73"/>
      <c r="BM59" s="73"/>
      <c r="BN59" s="73"/>
      <c r="BO59" s="79">
        <f t="shared" si="3"/>
        <v>0</v>
      </c>
      <c r="BP59">
        <f>'Spotřeba zemního plynu'!BB59</f>
        <v>0</v>
      </c>
    </row>
    <row r="60" spans="1:68" x14ac:dyDescent="0.3">
      <c r="A60" s="110" t="s">
        <v>108</v>
      </c>
      <c r="B60" s="85" t="s">
        <v>162</v>
      </c>
      <c r="C60" s="80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81">
        <f>'Seznam OM'!R63+'Seznam OM'!W63</f>
        <v>0</v>
      </c>
      <c r="P60" s="80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9">
        <f>'Seznam OM'!S63+'Seznam OM'!X63</f>
        <v>0</v>
      </c>
      <c r="AC60" s="80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81"/>
      <c r="AP60" s="80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9">
        <f t="shared" si="2"/>
        <v>0</v>
      </c>
      <c r="BC60" s="80"/>
      <c r="BD60" s="73"/>
      <c r="BE60" s="73"/>
      <c r="BF60" s="73"/>
      <c r="BG60" s="73"/>
      <c r="BH60" s="73"/>
      <c r="BI60" s="73"/>
      <c r="BJ60" s="73"/>
      <c r="BK60" s="73"/>
      <c r="BL60" s="73"/>
      <c r="BM60" s="73"/>
      <c r="BN60" s="73"/>
      <c r="BO60" s="79">
        <f t="shared" si="3"/>
        <v>0</v>
      </c>
      <c r="BP60">
        <f>'Spotřeba zemního plynu'!BB60</f>
        <v>0</v>
      </c>
    </row>
    <row r="61" spans="1:68" x14ac:dyDescent="0.3">
      <c r="A61" s="110" t="s">
        <v>108</v>
      </c>
      <c r="B61" s="85" t="s">
        <v>164</v>
      </c>
      <c r="C61" s="80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81">
        <f>'Seznam OM'!R64+'Seznam OM'!W64</f>
        <v>0</v>
      </c>
      <c r="P61" s="80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9">
        <f>'Seznam OM'!S64+'Seznam OM'!X64</f>
        <v>0</v>
      </c>
      <c r="AC61" s="80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81"/>
      <c r="AP61" s="80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9">
        <f t="shared" si="2"/>
        <v>0</v>
      </c>
      <c r="BC61" s="80"/>
      <c r="BD61" s="73"/>
      <c r="BE61" s="73"/>
      <c r="BF61" s="73"/>
      <c r="BG61" s="73"/>
      <c r="BH61" s="73"/>
      <c r="BI61" s="73"/>
      <c r="BJ61" s="73"/>
      <c r="BK61" s="73"/>
      <c r="BL61" s="73"/>
      <c r="BM61" s="73"/>
      <c r="BN61" s="73"/>
      <c r="BO61" s="79">
        <f t="shared" si="3"/>
        <v>0</v>
      </c>
      <c r="BP61">
        <f>'Spotřeba zemního plynu'!BB61</f>
        <v>0</v>
      </c>
    </row>
    <row r="62" spans="1:68" x14ac:dyDescent="0.3">
      <c r="A62" s="110" t="s">
        <v>108</v>
      </c>
      <c r="B62" s="85" t="s">
        <v>166</v>
      </c>
      <c r="C62" s="80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81">
        <f>'Seznam OM'!R65+'Seznam OM'!W65</f>
        <v>0</v>
      </c>
      <c r="P62" s="80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9">
        <f>'Seznam OM'!S65+'Seznam OM'!X65</f>
        <v>0</v>
      </c>
      <c r="AC62" s="80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81"/>
      <c r="AP62" s="80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9">
        <f t="shared" si="2"/>
        <v>0</v>
      </c>
      <c r="BC62" s="80"/>
      <c r="BD62" s="73"/>
      <c r="BE62" s="73"/>
      <c r="BF62" s="73"/>
      <c r="BG62" s="73"/>
      <c r="BH62" s="73"/>
      <c r="BI62" s="73"/>
      <c r="BJ62" s="73"/>
      <c r="BK62" s="73"/>
      <c r="BL62" s="73"/>
      <c r="BM62" s="73"/>
      <c r="BN62" s="73"/>
      <c r="BO62" s="79">
        <f t="shared" si="3"/>
        <v>0</v>
      </c>
      <c r="BP62">
        <f>'Spotřeba zemního plynu'!BB62</f>
        <v>0</v>
      </c>
    </row>
    <row r="63" spans="1:68" x14ac:dyDescent="0.3">
      <c r="A63" s="110" t="s">
        <v>108</v>
      </c>
      <c r="B63" s="85" t="s">
        <v>168</v>
      </c>
      <c r="C63" s="80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81">
        <f>'Seznam OM'!R66+'Seznam OM'!W66</f>
        <v>0</v>
      </c>
      <c r="P63" s="80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9">
        <f>'Seznam OM'!S66+'Seznam OM'!X66</f>
        <v>0</v>
      </c>
      <c r="AC63" s="80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81"/>
      <c r="AP63" s="80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9">
        <f t="shared" si="2"/>
        <v>0</v>
      </c>
      <c r="BC63" s="80"/>
      <c r="BD63" s="73"/>
      <c r="BE63" s="73"/>
      <c r="BF63" s="73"/>
      <c r="BG63" s="73"/>
      <c r="BH63" s="73"/>
      <c r="BI63" s="73"/>
      <c r="BJ63" s="73"/>
      <c r="BK63" s="73"/>
      <c r="BL63" s="73"/>
      <c r="BM63" s="73"/>
      <c r="BN63" s="73"/>
      <c r="BO63" s="79">
        <f t="shared" si="3"/>
        <v>0</v>
      </c>
      <c r="BP63">
        <f>'Spotřeba zemního plynu'!BB63</f>
        <v>0</v>
      </c>
    </row>
    <row r="64" spans="1:68" x14ac:dyDescent="0.3">
      <c r="A64" s="110" t="s">
        <v>108</v>
      </c>
      <c r="B64" s="85" t="s">
        <v>170</v>
      </c>
      <c r="C64" s="80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81">
        <f>'Seznam OM'!R67+'Seznam OM'!W67</f>
        <v>0</v>
      </c>
      <c r="P64" s="80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9">
        <f>'Seznam OM'!S67+'Seznam OM'!X67</f>
        <v>0</v>
      </c>
      <c r="AC64" s="80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81"/>
      <c r="AP64" s="80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9">
        <f t="shared" si="2"/>
        <v>0</v>
      </c>
      <c r="BC64" s="80"/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9">
        <f t="shared" si="3"/>
        <v>0</v>
      </c>
      <c r="BP64">
        <f>'Spotřeba zemního plynu'!BB64</f>
        <v>0</v>
      </c>
    </row>
    <row r="65" spans="1:68" x14ac:dyDescent="0.3">
      <c r="A65" s="110" t="s">
        <v>108</v>
      </c>
      <c r="B65" s="85" t="s">
        <v>172</v>
      </c>
      <c r="C65" s="80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81">
        <f>'Seznam OM'!R68+'Seznam OM'!W68</f>
        <v>0</v>
      </c>
      <c r="P65" s="80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9">
        <f>'Seznam OM'!S68+'Seznam OM'!X68</f>
        <v>0</v>
      </c>
      <c r="AC65" s="80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81"/>
      <c r="AP65" s="80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9">
        <f t="shared" si="2"/>
        <v>0</v>
      </c>
      <c r="BC65" s="80"/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9">
        <f t="shared" si="3"/>
        <v>0</v>
      </c>
      <c r="BP65">
        <f>'Spotřeba zemního plynu'!BB65</f>
        <v>0</v>
      </c>
    </row>
    <row r="66" spans="1:68" x14ac:dyDescent="0.3">
      <c r="A66" s="110" t="s">
        <v>44</v>
      </c>
      <c r="B66" s="87" t="s">
        <v>174</v>
      </c>
      <c r="C66" s="80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81">
        <f>'Seznam OM'!R69+'Seznam OM'!W69</f>
        <v>0</v>
      </c>
      <c r="P66" s="80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9">
        <f>'Seznam OM'!S69+'Seznam OM'!X69</f>
        <v>0</v>
      </c>
      <c r="AC66" s="80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81"/>
      <c r="AP66" s="80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9">
        <f t="shared" si="2"/>
        <v>0</v>
      </c>
      <c r="BC66" s="80"/>
      <c r="BD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9">
        <f t="shared" si="3"/>
        <v>0</v>
      </c>
      <c r="BP66">
        <f>'Spotřeba zemního plynu'!BB66</f>
        <v>0</v>
      </c>
    </row>
    <row r="67" spans="1:68" x14ac:dyDescent="0.3">
      <c r="A67" s="110" t="s">
        <v>108</v>
      </c>
      <c r="B67" s="85" t="s">
        <v>176</v>
      </c>
      <c r="C67" s="80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81">
        <f>'Seznam OM'!R70+'Seznam OM'!W70</f>
        <v>0</v>
      </c>
      <c r="P67" s="80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9">
        <f>'Seznam OM'!S70+'Seznam OM'!X70</f>
        <v>0</v>
      </c>
      <c r="AC67" s="80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81"/>
      <c r="AP67" s="80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9">
        <f t="shared" si="2"/>
        <v>0</v>
      </c>
      <c r="BC67" s="80"/>
      <c r="BD67" s="73"/>
      <c r="BE67" s="73"/>
      <c r="BF67" s="73"/>
      <c r="BG67" s="73"/>
      <c r="BH67" s="73"/>
      <c r="BI67" s="73"/>
      <c r="BJ67" s="73"/>
      <c r="BK67" s="73"/>
      <c r="BL67" s="73"/>
      <c r="BM67" s="73"/>
      <c r="BN67" s="73"/>
      <c r="BO67" s="79">
        <f t="shared" si="3"/>
        <v>0</v>
      </c>
      <c r="BP67">
        <f>'Spotřeba zemního plynu'!BB67</f>
        <v>0</v>
      </c>
    </row>
    <row r="68" spans="1:68" x14ac:dyDescent="0.3">
      <c r="A68" s="110" t="s">
        <v>44</v>
      </c>
      <c r="B68" s="87" t="s">
        <v>178</v>
      </c>
      <c r="C68" s="80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81">
        <f>'Seznam OM'!R71+'Seznam OM'!W71</f>
        <v>0</v>
      </c>
      <c r="P68" s="80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9">
        <f>'Seznam OM'!S71+'Seznam OM'!X71</f>
        <v>0</v>
      </c>
      <c r="AC68" s="80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81"/>
      <c r="AP68" s="80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9">
        <f t="shared" si="2"/>
        <v>0</v>
      </c>
      <c r="BC68" s="80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9">
        <f t="shared" si="3"/>
        <v>0</v>
      </c>
      <c r="BP68">
        <f>'Spotřeba zemního plynu'!BB68</f>
        <v>0</v>
      </c>
    </row>
    <row r="69" spans="1:68" x14ac:dyDescent="0.3">
      <c r="A69" s="110" t="s">
        <v>108</v>
      </c>
      <c r="B69" s="85" t="s">
        <v>180</v>
      </c>
      <c r="C69" s="80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81">
        <f>'Seznam OM'!R72+'Seznam OM'!W72</f>
        <v>0</v>
      </c>
      <c r="P69" s="80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9">
        <f>'Seznam OM'!S72+'Seznam OM'!X72</f>
        <v>0</v>
      </c>
      <c r="AC69" s="80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81"/>
      <c r="AP69" s="80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9">
        <f t="shared" si="2"/>
        <v>0</v>
      </c>
      <c r="BC69" s="80"/>
      <c r="BD69" s="73"/>
      <c r="BE69" s="73"/>
      <c r="BF69" s="73"/>
      <c r="BG69" s="73"/>
      <c r="BH69" s="73"/>
      <c r="BI69" s="73"/>
      <c r="BJ69" s="73"/>
      <c r="BK69" s="73"/>
      <c r="BL69" s="73"/>
      <c r="BM69" s="73"/>
      <c r="BN69" s="73"/>
      <c r="BO69" s="79">
        <f t="shared" si="3"/>
        <v>0</v>
      </c>
      <c r="BP69">
        <f>'Spotřeba zemního plynu'!BB69</f>
        <v>0</v>
      </c>
    </row>
    <row r="70" spans="1:68" x14ac:dyDescent="0.3">
      <c r="A70" s="110" t="s">
        <v>108</v>
      </c>
      <c r="B70" s="85" t="s">
        <v>182</v>
      </c>
      <c r="C70" s="80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81">
        <f>'Seznam OM'!R73+'Seznam OM'!W73</f>
        <v>0</v>
      </c>
      <c r="P70" s="80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9">
        <f>'Seznam OM'!S73+'Seznam OM'!X73</f>
        <v>0</v>
      </c>
      <c r="AC70" s="80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81"/>
      <c r="AP70" s="80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9">
        <f t="shared" si="2"/>
        <v>0</v>
      </c>
      <c r="BC70" s="80"/>
      <c r="BD70" s="73"/>
      <c r="BE70" s="73"/>
      <c r="BF70" s="73"/>
      <c r="BG70" s="73"/>
      <c r="BH70" s="73"/>
      <c r="BI70" s="73"/>
      <c r="BJ70" s="73"/>
      <c r="BK70" s="73"/>
      <c r="BL70" s="73"/>
      <c r="BM70" s="73"/>
      <c r="BN70" s="73"/>
      <c r="BO70" s="79">
        <f t="shared" si="3"/>
        <v>0</v>
      </c>
      <c r="BP70">
        <f>'Spotřeba zemního plynu'!BB70</f>
        <v>0</v>
      </c>
    </row>
    <row r="71" spans="1:68" x14ac:dyDescent="0.3">
      <c r="A71" s="110" t="s">
        <v>108</v>
      </c>
      <c r="B71" s="85" t="s">
        <v>184</v>
      </c>
      <c r="C71" s="80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81">
        <f>'Seznam OM'!R74+'Seznam OM'!W74</f>
        <v>0</v>
      </c>
      <c r="P71" s="80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9">
        <f>'Seznam OM'!S74+'Seznam OM'!X74</f>
        <v>0</v>
      </c>
      <c r="AC71" s="80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81"/>
      <c r="AP71" s="80"/>
      <c r="AQ71" s="73"/>
      <c r="AR71" s="73"/>
      <c r="AS71" s="73"/>
      <c r="AT71" s="73"/>
      <c r="AU71" s="73"/>
      <c r="AV71" s="73"/>
      <c r="AW71" s="73"/>
      <c r="AX71" s="73"/>
      <c r="AY71" s="73"/>
      <c r="AZ71" s="73"/>
      <c r="BA71" s="73"/>
      <c r="BB71" s="79">
        <f t="shared" si="2"/>
        <v>0</v>
      </c>
      <c r="BC71" s="80"/>
      <c r="BD71" s="73"/>
      <c r="BE71" s="73"/>
      <c r="BF71" s="73"/>
      <c r="BG71" s="73"/>
      <c r="BH71" s="73"/>
      <c r="BI71" s="73"/>
      <c r="BJ71" s="73"/>
      <c r="BK71" s="73"/>
      <c r="BL71" s="73"/>
      <c r="BM71" s="73"/>
      <c r="BN71" s="73"/>
      <c r="BO71" s="79">
        <f t="shared" si="3"/>
        <v>0</v>
      </c>
      <c r="BP71">
        <f>'Spotřeba zemního plynu'!BB71</f>
        <v>0</v>
      </c>
    </row>
    <row r="72" spans="1:68" x14ac:dyDescent="0.3">
      <c r="A72" s="110" t="s">
        <v>108</v>
      </c>
      <c r="B72" s="85" t="s">
        <v>186</v>
      </c>
      <c r="C72" s="80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81">
        <f>'Seznam OM'!R75+'Seznam OM'!W75</f>
        <v>0</v>
      </c>
      <c r="P72" s="80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9">
        <f>'Seznam OM'!S75+'Seznam OM'!X75</f>
        <v>0</v>
      </c>
      <c r="AC72" s="80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81"/>
      <c r="AP72" s="80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79">
        <f t="shared" si="2"/>
        <v>0</v>
      </c>
      <c r="BC72" s="80"/>
      <c r="BD72" s="73"/>
      <c r="BE72" s="73"/>
      <c r="BF72" s="73"/>
      <c r="BG72" s="73"/>
      <c r="BH72" s="73"/>
      <c r="BI72" s="73"/>
      <c r="BJ72" s="73"/>
      <c r="BK72" s="73"/>
      <c r="BL72" s="73"/>
      <c r="BM72" s="73"/>
      <c r="BN72" s="73"/>
      <c r="BO72" s="79">
        <f t="shared" si="3"/>
        <v>0</v>
      </c>
      <c r="BP72">
        <f>'Spotřeba zemního plynu'!BB72</f>
        <v>0</v>
      </c>
    </row>
    <row r="73" spans="1:68" x14ac:dyDescent="0.3">
      <c r="A73" s="110" t="s">
        <v>44</v>
      </c>
      <c r="B73" s="87" t="s">
        <v>188</v>
      </c>
      <c r="C73" s="80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81">
        <f>'Seznam OM'!R76+'Seznam OM'!W76</f>
        <v>0</v>
      </c>
      <c r="P73" s="80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9">
        <f>'Seznam OM'!S76+'Seznam OM'!X76</f>
        <v>0</v>
      </c>
      <c r="AC73" s="80"/>
      <c r="AD73" s="73"/>
      <c r="AE73" s="73"/>
      <c r="AF73" s="73"/>
      <c r="AG73" s="73"/>
      <c r="AH73" s="73"/>
      <c r="AI73" s="73"/>
      <c r="AJ73" s="73"/>
      <c r="AK73" s="73"/>
      <c r="AL73" s="73"/>
      <c r="AM73" s="73"/>
      <c r="AN73" s="73"/>
      <c r="AO73" s="81"/>
      <c r="AP73" s="80"/>
      <c r="AQ73" s="73"/>
      <c r="AR73" s="73"/>
      <c r="AS73" s="73"/>
      <c r="AT73" s="73"/>
      <c r="AU73" s="73"/>
      <c r="AV73" s="73"/>
      <c r="AW73" s="73"/>
      <c r="AX73" s="73"/>
      <c r="AY73" s="73"/>
      <c r="AZ73" s="73"/>
      <c r="BA73" s="73"/>
      <c r="BB73" s="79">
        <f t="shared" si="2"/>
        <v>0</v>
      </c>
      <c r="BC73" s="80"/>
      <c r="BD73" s="73"/>
      <c r="BE73" s="73"/>
      <c r="BF73" s="73"/>
      <c r="BG73" s="73"/>
      <c r="BH73" s="73"/>
      <c r="BI73" s="73"/>
      <c r="BJ73" s="73"/>
      <c r="BK73" s="73"/>
      <c r="BL73" s="73"/>
      <c r="BM73" s="73"/>
      <c r="BN73" s="73"/>
      <c r="BO73" s="79">
        <f t="shared" si="3"/>
        <v>0</v>
      </c>
      <c r="BP73">
        <f>'Spotřeba zemního plynu'!BB73</f>
        <v>0</v>
      </c>
    </row>
    <row r="74" spans="1:68" x14ac:dyDescent="0.3">
      <c r="A74" s="110" t="s">
        <v>44</v>
      </c>
      <c r="B74" s="87" t="s">
        <v>190</v>
      </c>
      <c r="C74" s="80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81">
        <f>'Seznam OM'!R77+'Seznam OM'!W77</f>
        <v>0</v>
      </c>
      <c r="P74" s="80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9">
        <f>'Seznam OM'!S77+'Seznam OM'!X77</f>
        <v>0</v>
      </c>
      <c r="AC74" s="80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81"/>
      <c r="AP74" s="80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9">
        <f t="shared" si="2"/>
        <v>0</v>
      </c>
      <c r="BC74" s="80"/>
      <c r="BD74" s="73"/>
      <c r="BE74" s="73"/>
      <c r="BF74" s="73"/>
      <c r="BG74" s="73"/>
      <c r="BH74" s="73"/>
      <c r="BI74" s="73"/>
      <c r="BJ74" s="73"/>
      <c r="BK74" s="73"/>
      <c r="BL74" s="73"/>
      <c r="BM74" s="73"/>
      <c r="BN74" s="73"/>
      <c r="BO74" s="79">
        <f t="shared" si="3"/>
        <v>0</v>
      </c>
      <c r="BP74">
        <f>'Spotřeba zemního plynu'!BB74</f>
        <v>0</v>
      </c>
    </row>
    <row r="75" spans="1:68" x14ac:dyDescent="0.3">
      <c r="A75" s="110" t="s">
        <v>108</v>
      </c>
      <c r="B75" s="85" t="s">
        <v>192</v>
      </c>
      <c r="C75" s="80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81">
        <f>'Seznam OM'!R78+'Seznam OM'!W78</f>
        <v>0</v>
      </c>
      <c r="P75" s="80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9">
        <f>'Seznam OM'!S78+'Seznam OM'!X78</f>
        <v>0</v>
      </c>
      <c r="AC75" s="80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81"/>
      <c r="AP75" s="80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9">
        <f t="shared" ref="BB75:BB95" si="4">(SUM(AP75:BA75)+SUM(AC75:AN75))/2</f>
        <v>0</v>
      </c>
      <c r="BC75" s="80"/>
      <c r="BD75" s="73"/>
      <c r="BE75" s="73"/>
      <c r="BF75" s="73"/>
      <c r="BG75" s="73"/>
      <c r="BH75" s="73"/>
      <c r="BI75" s="73"/>
      <c r="BJ75" s="73"/>
      <c r="BK75" s="73"/>
      <c r="BL75" s="73"/>
      <c r="BM75" s="73"/>
      <c r="BN75" s="73"/>
      <c r="BO75" s="79">
        <f t="shared" ref="BO75:BO95" si="5">(SUM(BC75:BN75)+SUM(AP75:BA75))/2</f>
        <v>0</v>
      </c>
      <c r="BP75">
        <f>'Spotřeba zemního plynu'!BB75</f>
        <v>0</v>
      </c>
    </row>
    <row r="76" spans="1:68" x14ac:dyDescent="0.3">
      <c r="A76" s="110" t="s">
        <v>44</v>
      </c>
      <c r="B76" s="87" t="s">
        <v>194</v>
      </c>
      <c r="C76" s="80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81">
        <f>'Seznam OM'!R79+'Seznam OM'!W79</f>
        <v>0</v>
      </c>
      <c r="P76" s="80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9">
        <f>'Seznam OM'!S79+'Seznam OM'!X79</f>
        <v>0</v>
      </c>
      <c r="AC76" s="80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81"/>
      <c r="AP76" s="80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79">
        <f t="shared" si="4"/>
        <v>0</v>
      </c>
      <c r="BC76" s="80"/>
      <c r="BD76" s="73"/>
      <c r="BE76" s="73"/>
      <c r="BF76" s="73"/>
      <c r="BG76" s="73"/>
      <c r="BH76" s="73"/>
      <c r="BI76" s="73"/>
      <c r="BJ76" s="73"/>
      <c r="BK76" s="73"/>
      <c r="BL76" s="73"/>
      <c r="BM76" s="73"/>
      <c r="BN76" s="73"/>
      <c r="BO76" s="79">
        <f t="shared" si="5"/>
        <v>0</v>
      </c>
      <c r="BP76">
        <f>'Spotřeba zemního plynu'!BB76</f>
        <v>0</v>
      </c>
    </row>
    <row r="77" spans="1:68" x14ac:dyDescent="0.3">
      <c r="A77" s="110" t="s">
        <v>44</v>
      </c>
      <c r="B77" s="87" t="s">
        <v>196</v>
      </c>
      <c r="C77" s="80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81">
        <f>'Seznam OM'!R80+'Seznam OM'!W80</f>
        <v>0</v>
      </c>
      <c r="P77" s="80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9">
        <f>'Seznam OM'!S80+'Seznam OM'!X80</f>
        <v>0</v>
      </c>
      <c r="AC77" s="80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81"/>
      <c r="AP77" s="80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73"/>
      <c r="BB77" s="79">
        <f t="shared" si="4"/>
        <v>0</v>
      </c>
      <c r="BC77" s="80"/>
      <c r="BD77" s="73"/>
      <c r="BE77" s="73"/>
      <c r="BF77" s="73"/>
      <c r="BG77" s="73"/>
      <c r="BH77" s="73"/>
      <c r="BI77" s="73"/>
      <c r="BJ77" s="73"/>
      <c r="BK77" s="73"/>
      <c r="BL77" s="73"/>
      <c r="BM77" s="73"/>
      <c r="BN77" s="73"/>
      <c r="BO77" s="79">
        <f t="shared" si="5"/>
        <v>0</v>
      </c>
      <c r="BP77">
        <f>'Spotřeba zemního plynu'!BB77</f>
        <v>0</v>
      </c>
    </row>
    <row r="78" spans="1:68" x14ac:dyDescent="0.3">
      <c r="A78" s="110" t="s">
        <v>44</v>
      </c>
      <c r="B78" s="87" t="s">
        <v>198</v>
      </c>
      <c r="C78" s="80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81">
        <f>'Seznam OM'!R81+'Seznam OM'!W81</f>
        <v>0</v>
      </c>
      <c r="P78" s="80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9">
        <f>'Seznam OM'!S81+'Seznam OM'!X81</f>
        <v>0</v>
      </c>
      <c r="AC78" s="80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81"/>
      <c r="AP78" s="80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9">
        <f t="shared" si="4"/>
        <v>0</v>
      </c>
      <c r="BC78" s="80"/>
      <c r="BD78" s="73"/>
      <c r="BE78" s="73"/>
      <c r="BF78" s="73"/>
      <c r="BG78" s="73"/>
      <c r="BH78" s="73"/>
      <c r="BI78" s="73"/>
      <c r="BJ78" s="73"/>
      <c r="BK78" s="73"/>
      <c r="BL78" s="73"/>
      <c r="BM78" s="73"/>
      <c r="BN78" s="73"/>
      <c r="BO78" s="79">
        <f t="shared" si="5"/>
        <v>0</v>
      </c>
      <c r="BP78">
        <f>'Spotřeba zemního plynu'!BB78</f>
        <v>0</v>
      </c>
    </row>
    <row r="79" spans="1:68" x14ac:dyDescent="0.3">
      <c r="A79" s="110" t="s">
        <v>44</v>
      </c>
      <c r="B79" s="87" t="s">
        <v>200</v>
      </c>
      <c r="C79" s="80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81">
        <f>'Seznam OM'!R82+'Seznam OM'!W82</f>
        <v>0</v>
      </c>
      <c r="P79" s="80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9">
        <f>'Seznam OM'!S82+'Seznam OM'!X82</f>
        <v>0</v>
      </c>
      <c r="AC79" s="80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81"/>
      <c r="AP79" s="80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9">
        <f t="shared" si="4"/>
        <v>0</v>
      </c>
      <c r="BC79" s="80"/>
      <c r="BD79" s="73"/>
      <c r="BE79" s="73"/>
      <c r="BF79" s="73"/>
      <c r="BG79" s="73"/>
      <c r="BH79" s="73"/>
      <c r="BI79" s="73"/>
      <c r="BJ79" s="73"/>
      <c r="BK79" s="73"/>
      <c r="BL79" s="73"/>
      <c r="BM79" s="73"/>
      <c r="BN79" s="73"/>
      <c r="BO79" s="79">
        <f t="shared" si="5"/>
        <v>0</v>
      </c>
      <c r="BP79">
        <f>'Spotřeba zemního plynu'!BB79</f>
        <v>0</v>
      </c>
    </row>
    <row r="80" spans="1:68" x14ac:dyDescent="0.3">
      <c r="A80" s="110" t="s">
        <v>44</v>
      </c>
      <c r="B80" s="87" t="s">
        <v>202</v>
      </c>
      <c r="C80" s="80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81">
        <f>'Seznam OM'!R83+'Seznam OM'!W83</f>
        <v>0</v>
      </c>
      <c r="P80" s="80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9">
        <f>'Seznam OM'!S83+'Seznam OM'!X83</f>
        <v>0</v>
      </c>
      <c r="AC80" s="80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81"/>
      <c r="AP80" s="80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9">
        <f t="shared" si="4"/>
        <v>0</v>
      </c>
      <c r="BC80" s="80"/>
      <c r="BD80" s="73"/>
      <c r="BE80" s="73"/>
      <c r="BF80" s="73"/>
      <c r="BG80" s="73"/>
      <c r="BH80" s="73"/>
      <c r="BI80" s="73"/>
      <c r="BJ80" s="73"/>
      <c r="BK80" s="73"/>
      <c r="BL80" s="73"/>
      <c r="BM80" s="73"/>
      <c r="BN80" s="73"/>
      <c r="BO80" s="79">
        <f t="shared" si="5"/>
        <v>0</v>
      </c>
      <c r="BP80">
        <f>'Spotřeba zemního plynu'!BB80</f>
        <v>0</v>
      </c>
    </row>
    <row r="81" spans="1:68" x14ac:dyDescent="0.3">
      <c r="A81" s="93" t="s">
        <v>108</v>
      </c>
      <c r="B81" s="101" t="s">
        <v>204</v>
      </c>
      <c r="C81" s="80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81">
        <f>'Seznam OM'!R84+'Seznam OM'!W84</f>
        <v>0</v>
      </c>
      <c r="P81" s="80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9">
        <f>'Seznam OM'!S84+'Seznam OM'!X84</f>
        <v>0</v>
      </c>
      <c r="AC81" s="80">
        <v>9</v>
      </c>
      <c r="AD81" s="73">
        <v>7</v>
      </c>
      <c r="AE81" s="73">
        <v>4</v>
      </c>
      <c r="AF81" s="73">
        <v>3</v>
      </c>
      <c r="AG81" s="73">
        <v>2</v>
      </c>
      <c r="AH81" s="73">
        <v>0</v>
      </c>
      <c r="AI81" s="73">
        <v>0</v>
      </c>
      <c r="AJ81" s="73">
        <v>0</v>
      </c>
      <c r="AK81" s="73">
        <v>0</v>
      </c>
      <c r="AL81" s="73">
        <v>3</v>
      </c>
      <c r="AM81" s="73">
        <v>6</v>
      </c>
      <c r="AN81" s="73">
        <v>7</v>
      </c>
      <c r="AO81" s="81">
        <v>41</v>
      </c>
      <c r="AP81" s="80">
        <v>8</v>
      </c>
      <c r="AQ81" s="73">
        <v>8</v>
      </c>
      <c r="AR81" s="73">
        <v>6</v>
      </c>
      <c r="AS81" s="73">
        <v>3</v>
      </c>
      <c r="AT81" s="73">
        <v>2</v>
      </c>
      <c r="AU81" s="73">
        <v>0</v>
      </c>
      <c r="AV81" s="73">
        <v>0</v>
      </c>
      <c r="AW81" s="73">
        <v>0</v>
      </c>
      <c r="AX81" s="73">
        <v>0</v>
      </c>
      <c r="AY81" s="73">
        <v>3</v>
      </c>
      <c r="AZ81" s="73">
        <v>6</v>
      </c>
      <c r="BA81" s="73">
        <v>7</v>
      </c>
      <c r="BB81" s="79">
        <f t="shared" si="4"/>
        <v>42</v>
      </c>
      <c r="BC81" s="80"/>
      <c r="BD81" s="73"/>
      <c r="BE81" s="73"/>
      <c r="BF81" s="73"/>
      <c r="BG81" s="73"/>
      <c r="BH81" s="73"/>
      <c r="BI81" s="73"/>
      <c r="BJ81" s="73"/>
      <c r="BK81" s="73"/>
      <c r="BL81" s="73"/>
      <c r="BM81" s="73"/>
      <c r="BN81" s="73"/>
      <c r="BO81" s="79">
        <f t="shared" si="5"/>
        <v>21.5</v>
      </c>
      <c r="BP81">
        <f>'Spotřeba zemního plynu'!BB81</f>
        <v>0</v>
      </c>
    </row>
    <row r="82" spans="1:68" x14ac:dyDescent="0.3">
      <c r="A82" s="110" t="s">
        <v>108</v>
      </c>
      <c r="B82" s="85" t="s">
        <v>206</v>
      </c>
      <c r="C82" s="80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81">
        <f>'Seznam OM'!R85+'Seznam OM'!W85</f>
        <v>0</v>
      </c>
      <c r="P82" s="80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9">
        <f>'Seznam OM'!S85+'Seznam OM'!X85</f>
        <v>0</v>
      </c>
      <c r="AC82" s="80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81"/>
      <c r="AP82" s="80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9">
        <f t="shared" si="4"/>
        <v>0</v>
      </c>
      <c r="BC82" s="80"/>
      <c r="BD82" s="73"/>
      <c r="BE82" s="73"/>
      <c r="BF82" s="73"/>
      <c r="BG82" s="73"/>
      <c r="BH82" s="73"/>
      <c r="BI82" s="73"/>
      <c r="BJ82" s="73"/>
      <c r="BK82" s="73"/>
      <c r="BL82" s="73"/>
      <c r="BM82" s="73"/>
      <c r="BN82" s="73"/>
      <c r="BO82" s="79">
        <f t="shared" si="5"/>
        <v>0</v>
      </c>
      <c r="BP82">
        <f>'Spotřeba zemního plynu'!BB82</f>
        <v>0</v>
      </c>
    </row>
    <row r="83" spans="1:68" x14ac:dyDescent="0.3">
      <c r="A83" s="110" t="s">
        <v>108</v>
      </c>
      <c r="B83" s="85" t="s">
        <v>208</v>
      </c>
      <c r="C83" s="80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81">
        <f>'Seznam OM'!R86+'Seznam OM'!W86</f>
        <v>0</v>
      </c>
      <c r="P83" s="80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9">
        <f>'Seznam OM'!S86+'Seznam OM'!X86</f>
        <v>0</v>
      </c>
      <c r="AC83" s="80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81"/>
      <c r="AP83" s="80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3"/>
      <c r="BB83" s="79">
        <f t="shared" si="4"/>
        <v>0</v>
      </c>
      <c r="BC83" s="80"/>
      <c r="BD83" s="73"/>
      <c r="BE83" s="73"/>
      <c r="BF83" s="73"/>
      <c r="BG83" s="73"/>
      <c r="BH83" s="73"/>
      <c r="BI83" s="73"/>
      <c r="BJ83" s="73"/>
      <c r="BK83" s="73"/>
      <c r="BL83" s="73"/>
      <c r="BM83" s="73"/>
      <c r="BN83" s="73"/>
      <c r="BO83" s="79">
        <f t="shared" si="5"/>
        <v>0</v>
      </c>
      <c r="BP83">
        <f>'Spotřeba zemního plynu'!BB83</f>
        <v>0</v>
      </c>
    </row>
    <row r="84" spans="1:68" x14ac:dyDescent="0.3">
      <c r="A84" s="110" t="s">
        <v>108</v>
      </c>
      <c r="B84" s="85" t="s">
        <v>210</v>
      </c>
      <c r="C84" s="80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81">
        <f>'Seznam OM'!R87+'Seznam OM'!W87</f>
        <v>0</v>
      </c>
      <c r="P84" s="80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9">
        <f>'Seznam OM'!S87+'Seznam OM'!X87</f>
        <v>0</v>
      </c>
      <c r="AC84" s="80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81"/>
      <c r="AP84" s="80"/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A84" s="73"/>
      <c r="BB84" s="79">
        <f t="shared" si="4"/>
        <v>0</v>
      </c>
      <c r="BC84" s="80"/>
      <c r="BD84" s="73"/>
      <c r="BE84" s="73"/>
      <c r="BF84" s="73"/>
      <c r="BG84" s="73"/>
      <c r="BH84" s="73"/>
      <c r="BI84" s="73"/>
      <c r="BJ84" s="73"/>
      <c r="BK84" s="73"/>
      <c r="BL84" s="73"/>
      <c r="BM84" s="73"/>
      <c r="BN84" s="73"/>
      <c r="BO84" s="79">
        <f t="shared" si="5"/>
        <v>0</v>
      </c>
      <c r="BP84">
        <f>'Spotřeba zemního plynu'!BB84</f>
        <v>0</v>
      </c>
    </row>
    <row r="85" spans="1:68" x14ac:dyDescent="0.3">
      <c r="A85" s="110" t="s">
        <v>108</v>
      </c>
      <c r="B85" s="85" t="s">
        <v>212</v>
      </c>
      <c r="C85" s="80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81">
        <f>'Seznam OM'!R88+'Seznam OM'!W88</f>
        <v>0</v>
      </c>
      <c r="P85" s="80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9">
        <f>'Seznam OM'!S88+'Seznam OM'!X88</f>
        <v>0</v>
      </c>
      <c r="AC85" s="80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81"/>
      <c r="AP85" s="80"/>
      <c r="AQ85" s="73"/>
      <c r="AR85" s="73"/>
      <c r="AS85" s="73"/>
      <c r="AT85" s="73"/>
      <c r="AU85" s="73"/>
      <c r="AV85" s="73"/>
      <c r="AW85" s="73"/>
      <c r="AX85" s="73"/>
      <c r="AY85" s="73"/>
      <c r="AZ85" s="73"/>
      <c r="BA85" s="73"/>
      <c r="BB85" s="79">
        <f t="shared" si="4"/>
        <v>0</v>
      </c>
      <c r="BC85" s="80"/>
      <c r="BD85" s="73"/>
      <c r="BE85" s="73"/>
      <c r="BF85" s="73"/>
      <c r="BG85" s="73"/>
      <c r="BH85" s="73"/>
      <c r="BI85" s="73"/>
      <c r="BJ85" s="73"/>
      <c r="BK85" s="73"/>
      <c r="BL85" s="73"/>
      <c r="BM85" s="73"/>
      <c r="BN85" s="73"/>
      <c r="BO85" s="79">
        <f t="shared" si="5"/>
        <v>0</v>
      </c>
      <c r="BP85">
        <f>'Spotřeba zemního plynu'!BB85</f>
        <v>0</v>
      </c>
    </row>
    <row r="86" spans="1:68" x14ac:dyDescent="0.3">
      <c r="A86" s="110" t="s">
        <v>108</v>
      </c>
      <c r="B86" s="85" t="s">
        <v>214</v>
      </c>
      <c r="C86" s="80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81">
        <f>'Seznam OM'!R89+'Seznam OM'!W89</f>
        <v>0</v>
      </c>
      <c r="P86" s="80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9">
        <f>'Seznam OM'!S89+'Seznam OM'!X89</f>
        <v>0</v>
      </c>
      <c r="AC86" s="80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81"/>
      <c r="AP86" s="80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9">
        <f t="shared" si="4"/>
        <v>0</v>
      </c>
      <c r="BC86" s="80"/>
      <c r="BD86" s="73"/>
      <c r="BE86" s="73"/>
      <c r="BF86" s="73"/>
      <c r="BG86" s="73"/>
      <c r="BH86" s="73"/>
      <c r="BI86" s="73"/>
      <c r="BJ86" s="73"/>
      <c r="BK86" s="73"/>
      <c r="BL86" s="73"/>
      <c r="BM86" s="73"/>
      <c r="BN86" s="73"/>
      <c r="BO86" s="79">
        <f t="shared" si="5"/>
        <v>0</v>
      </c>
      <c r="BP86">
        <f>'Spotřeba zemního plynu'!BB86</f>
        <v>0</v>
      </c>
    </row>
    <row r="87" spans="1:68" x14ac:dyDescent="0.3">
      <c r="A87" s="110" t="s">
        <v>108</v>
      </c>
      <c r="B87" s="85" t="s">
        <v>216</v>
      </c>
      <c r="C87" s="80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81">
        <f>'Seznam OM'!R90+'Seznam OM'!W90</f>
        <v>0</v>
      </c>
      <c r="P87" s="80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9">
        <f>'Seznam OM'!S90+'Seznam OM'!X90</f>
        <v>0</v>
      </c>
      <c r="AC87" s="80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81"/>
      <c r="AP87" s="80"/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A87" s="73"/>
      <c r="BB87" s="79">
        <f t="shared" si="4"/>
        <v>0</v>
      </c>
      <c r="BC87" s="80"/>
      <c r="BD87" s="73"/>
      <c r="BE87" s="73"/>
      <c r="BF87" s="73"/>
      <c r="BG87" s="73"/>
      <c r="BH87" s="73"/>
      <c r="BI87" s="73"/>
      <c r="BJ87" s="73"/>
      <c r="BK87" s="73"/>
      <c r="BL87" s="73"/>
      <c r="BM87" s="73"/>
      <c r="BN87" s="73"/>
      <c r="BO87" s="79">
        <f t="shared" si="5"/>
        <v>0</v>
      </c>
      <c r="BP87">
        <f>'Spotřeba zemního plynu'!BB87</f>
        <v>0</v>
      </c>
    </row>
    <row r="88" spans="1:68" x14ac:dyDescent="0.3">
      <c r="A88" s="110" t="s">
        <v>108</v>
      </c>
      <c r="B88" s="85" t="s">
        <v>218</v>
      </c>
      <c r="C88" s="80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81">
        <f>'Seznam OM'!R91+'Seznam OM'!W91</f>
        <v>0</v>
      </c>
      <c r="P88" s="80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9">
        <f>'Seznam OM'!S91+'Seznam OM'!X91</f>
        <v>0</v>
      </c>
      <c r="AC88" s="80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81"/>
      <c r="AP88" s="80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3"/>
      <c r="BB88" s="79">
        <f t="shared" si="4"/>
        <v>0</v>
      </c>
      <c r="BC88" s="80"/>
      <c r="BD88" s="73"/>
      <c r="BE88" s="73"/>
      <c r="BF88" s="73"/>
      <c r="BG88" s="73"/>
      <c r="BH88" s="73"/>
      <c r="BI88" s="73"/>
      <c r="BJ88" s="73"/>
      <c r="BK88" s="73"/>
      <c r="BL88" s="73"/>
      <c r="BM88" s="73"/>
      <c r="BN88" s="73"/>
      <c r="BO88" s="79">
        <f t="shared" si="5"/>
        <v>0</v>
      </c>
      <c r="BP88">
        <f>'Spotřeba zemního plynu'!BB88</f>
        <v>0</v>
      </c>
    </row>
    <row r="89" spans="1:68" x14ac:dyDescent="0.3">
      <c r="A89" s="110" t="s">
        <v>108</v>
      </c>
      <c r="B89" s="85" t="s">
        <v>220</v>
      </c>
      <c r="C89" s="80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81">
        <f>'Seznam OM'!R92+'Seznam OM'!W92</f>
        <v>0</v>
      </c>
      <c r="P89" s="80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9">
        <f>'Seznam OM'!S92+'Seznam OM'!X92</f>
        <v>0</v>
      </c>
      <c r="AC89" s="80"/>
      <c r="AD89" s="73"/>
      <c r="AE89" s="73"/>
      <c r="AF89" s="73"/>
      <c r="AG89" s="73"/>
      <c r="AH89" s="73"/>
      <c r="AI89" s="73"/>
      <c r="AJ89" s="73"/>
      <c r="AK89" s="73"/>
      <c r="AL89" s="73"/>
      <c r="AM89" s="73"/>
      <c r="AN89" s="73"/>
      <c r="AO89" s="81"/>
      <c r="AP89" s="80"/>
      <c r="AQ89" s="73"/>
      <c r="AR89" s="73"/>
      <c r="AS89" s="73"/>
      <c r="AT89" s="73"/>
      <c r="AU89" s="73"/>
      <c r="AV89" s="73"/>
      <c r="AW89" s="73"/>
      <c r="AX89" s="73"/>
      <c r="AY89" s="73"/>
      <c r="AZ89" s="73"/>
      <c r="BA89" s="73"/>
      <c r="BB89" s="79">
        <f t="shared" si="4"/>
        <v>0</v>
      </c>
      <c r="BC89" s="80"/>
      <c r="BD89" s="73"/>
      <c r="BE89" s="73"/>
      <c r="BF89" s="73"/>
      <c r="BG89" s="73"/>
      <c r="BH89" s="73"/>
      <c r="BI89" s="73"/>
      <c r="BJ89" s="73"/>
      <c r="BK89" s="73"/>
      <c r="BL89" s="73"/>
      <c r="BM89" s="73"/>
      <c r="BN89" s="73"/>
      <c r="BO89" s="79">
        <f t="shared" si="5"/>
        <v>0</v>
      </c>
      <c r="BP89">
        <f>'Spotřeba zemního plynu'!BB89</f>
        <v>0</v>
      </c>
    </row>
    <row r="90" spans="1:68" x14ac:dyDescent="0.3">
      <c r="A90" s="110" t="s">
        <v>108</v>
      </c>
      <c r="B90" s="85" t="s">
        <v>222</v>
      </c>
      <c r="C90" s="80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81">
        <f>'Seznam OM'!R93+'Seznam OM'!W93</f>
        <v>0</v>
      </c>
      <c r="P90" s="80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9">
        <f>'Seznam OM'!S93+'Seznam OM'!X93</f>
        <v>0</v>
      </c>
      <c r="AC90" s="80"/>
      <c r="AD90" s="73"/>
      <c r="AE90" s="73"/>
      <c r="AF90" s="73"/>
      <c r="AG90" s="73"/>
      <c r="AH90" s="73"/>
      <c r="AI90" s="73"/>
      <c r="AJ90" s="73"/>
      <c r="AK90" s="73"/>
      <c r="AL90" s="73"/>
      <c r="AM90" s="73"/>
      <c r="AN90" s="73"/>
      <c r="AO90" s="81"/>
      <c r="AP90" s="80"/>
      <c r="AQ90" s="73"/>
      <c r="AR90" s="73"/>
      <c r="AS90" s="73"/>
      <c r="AT90" s="73"/>
      <c r="AU90" s="73"/>
      <c r="AV90" s="73"/>
      <c r="AW90" s="73"/>
      <c r="AX90" s="73"/>
      <c r="AY90" s="73"/>
      <c r="AZ90" s="73"/>
      <c r="BA90" s="73"/>
      <c r="BB90" s="79">
        <f t="shared" si="4"/>
        <v>0</v>
      </c>
      <c r="BC90" s="80"/>
      <c r="BD90" s="73"/>
      <c r="BE90" s="73"/>
      <c r="BF90" s="73"/>
      <c r="BG90" s="73"/>
      <c r="BH90" s="73"/>
      <c r="BI90" s="73"/>
      <c r="BJ90" s="73"/>
      <c r="BK90" s="73"/>
      <c r="BL90" s="73"/>
      <c r="BM90" s="73"/>
      <c r="BN90" s="73"/>
      <c r="BO90" s="79">
        <f t="shared" si="5"/>
        <v>0</v>
      </c>
      <c r="BP90">
        <f>'Spotřeba zemního plynu'!BB90</f>
        <v>0</v>
      </c>
    </row>
    <row r="91" spans="1:68" x14ac:dyDescent="0.3">
      <c r="A91" s="110" t="s">
        <v>108</v>
      </c>
      <c r="B91" s="85" t="s">
        <v>224</v>
      </c>
      <c r="C91" s="80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81">
        <f>'Seznam OM'!R94+'Seznam OM'!W94</f>
        <v>0</v>
      </c>
      <c r="P91" s="80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9">
        <f>'Seznam OM'!S94+'Seznam OM'!X94</f>
        <v>0</v>
      </c>
      <c r="AC91" s="80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73"/>
      <c r="AO91" s="81"/>
      <c r="AP91" s="80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9">
        <f t="shared" si="4"/>
        <v>0</v>
      </c>
      <c r="BC91" s="80"/>
      <c r="BD91" s="73"/>
      <c r="BE91" s="73"/>
      <c r="BF91" s="73"/>
      <c r="BG91" s="73"/>
      <c r="BH91" s="73"/>
      <c r="BI91" s="73"/>
      <c r="BJ91" s="73"/>
      <c r="BK91" s="73"/>
      <c r="BL91" s="73"/>
      <c r="BM91" s="73"/>
      <c r="BN91" s="73"/>
      <c r="BO91" s="79">
        <f t="shared" si="5"/>
        <v>0</v>
      </c>
      <c r="BP91">
        <f>'Spotřeba zemního plynu'!BB91</f>
        <v>0</v>
      </c>
    </row>
    <row r="92" spans="1:68" x14ac:dyDescent="0.3">
      <c r="A92" s="110" t="s">
        <v>108</v>
      </c>
      <c r="B92" s="85" t="s">
        <v>226</v>
      </c>
      <c r="C92" s="80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81">
        <f>'Seznam OM'!R95+'Seznam OM'!W95</f>
        <v>0</v>
      </c>
      <c r="P92" s="80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9">
        <f>'Seznam OM'!S95+'Seznam OM'!X95</f>
        <v>0</v>
      </c>
      <c r="AC92" s="80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81"/>
      <c r="AP92" s="80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9">
        <f t="shared" si="4"/>
        <v>0</v>
      </c>
      <c r="BC92" s="80"/>
      <c r="BD92" s="73"/>
      <c r="BE92" s="73"/>
      <c r="BF92" s="73"/>
      <c r="BG92" s="73"/>
      <c r="BH92" s="73"/>
      <c r="BI92" s="73"/>
      <c r="BJ92" s="73"/>
      <c r="BK92" s="73"/>
      <c r="BL92" s="73"/>
      <c r="BM92" s="73"/>
      <c r="BN92" s="73"/>
      <c r="BO92" s="79">
        <f t="shared" si="5"/>
        <v>0</v>
      </c>
      <c r="BP92">
        <f>'Spotřeba zemního plynu'!BB92</f>
        <v>0</v>
      </c>
    </row>
    <row r="93" spans="1:68" x14ac:dyDescent="0.3">
      <c r="A93" s="110" t="s">
        <v>108</v>
      </c>
      <c r="B93" s="85" t="s">
        <v>228</v>
      </c>
      <c r="C93" s="80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81"/>
      <c r="P93" s="80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81"/>
      <c r="AC93" s="80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81"/>
      <c r="AP93" s="80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73"/>
      <c r="BB93" s="79">
        <f t="shared" si="4"/>
        <v>0</v>
      </c>
      <c r="BC93" s="80"/>
      <c r="BD93" s="73"/>
      <c r="BE93" s="73"/>
      <c r="BF93" s="73"/>
      <c r="BG93" s="73"/>
      <c r="BH93" s="73"/>
      <c r="BI93" s="73"/>
      <c r="BJ93" s="73"/>
      <c r="BK93" s="73"/>
      <c r="BL93" s="73"/>
      <c r="BM93" s="73"/>
      <c r="BN93" s="73"/>
      <c r="BO93" s="79">
        <f t="shared" si="5"/>
        <v>0</v>
      </c>
      <c r="BP93">
        <f>'Spotřeba zemního plynu'!BB93</f>
        <v>0</v>
      </c>
    </row>
    <row r="94" spans="1:68" x14ac:dyDescent="0.3">
      <c r="A94" s="110" t="s">
        <v>44</v>
      </c>
      <c r="B94" s="85" t="s">
        <v>230</v>
      </c>
      <c r="C94" s="80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81"/>
      <c r="P94" s="80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81"/>
      <c r="AC94" s="80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81"/>
      <c r="AP94" s="80"/>
      <c r="AQ94" s="73"/>
      <c r="AR94" s="73"/>
      <c r="AS94" s="73"/>
      <c r="AT94" s="73"/>
      <c r="AU94" s="73"/>
      <c r="AV94" s="73"/>
      <c r="AW94" s="73"/>
      <c r="AX94" s="73"/>
      <c r="AY94" s="73"/>
      <c r="AZ94" s="73"/>
      <c r="BA94" s="73"/>
      <c r="BB94" s="79">
        <f t="shared" si="4"/>
        <v>0</v>
      </c>
      <c r="BC94" s="80"/>
      <c r="BD94" s="73"/>
      <c r="BE94" s="73"/>
      <c r="BF94" s="73"/>
      <c r="BG94" s="73"/>
      <c r="BH94" s="73"/>
      <c r="BI94" s="73"/>
      <c r="BJ94" s="73"/>
      <c r="BK94" s="73"/>
      <c r="BL94" s="73"/>
      <c r="BM94" s="73"/>
      <c r="BN94" s="73"/>
      <c r="BO94" s="79">
        <f t="shared" si="5"/>
        <v>0</v>
      </c>
      <c r="BP94">
        <f>'Spotřeba zemního plynu'!BB94</f>
        <v>0</v>
      </c>
    </row>
    <row r="95" spans="1:68" ht="15" thickBot="1" x14ac:dyDescent="0.35">
      <c r="A95" s="112" t="s">
        <v>232</v>
      </c>
      <c r="B95" s="88" t="s">
        <v>233</v>
      </c>
      <c r="C95" s="82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4"/>
      <c r="P95" s="82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4"/>
      <c r="AC95" s="82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4"/>
      <c r="AP95" s="82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79">
        <f t="shared" si="4"/>
        <v>0</v>
      </c>
      <c r="BC95" s="82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79">
        <f t="shared" si="5"/>
        <v>0</v>
      </c>
      <c r="BP95">
        <f>'Spotřeba zemního plynu'!BB95</f>
        <v>0</v>
      </c>
    </row>
    <row r="96" spans="1:68" x14ac:dyDescent="0.3">
      <c r="A96" s="147" t="s">
        <v>44</v>
      </c>
      <c r="B96" s="147" t="s">
        <v>230</v>
      </c>
      <c r="C96" s="152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53"/>
      <c r="P96" s="152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53"/>
      <c r="AC96" s="152"/>
      <c r="AD96" s="120"/>
      <c r="AE96" s="120"/>
      <c r="AF96" s="120"/>
      <c r="AG96" s="120"/>
      <c r="AH96" s="120"/>
      <c r="AI96" s="120"/>
      <c r="AJ96" s="120"/>
      <c r="AK96" s="120"/>
      <c r="AL96" s="120"/>
      <c r="AM96" s="120"/>
      <c r="AN96" s="120"/>
      <c r="AO96" s="153"/>
      <c r="AP96" s="152"/>
      <c r="AQ96" s="120"/>
      <c r="AR96" s="120"/>
      <c r="AS96" s="120"/>
      <c r="AT96" s="120"/>
      <c r="AU96" s="120"/>
      <c r="AV96" s="120"/>
      <c r="AW96" s="120"/>
      <c r="AX96" s="120"/>
      <c r="AY96" s="120"/>
      <c r="AZ96" s="120"/>
      <c r="BA96" s="120"/>
      <c r="BB96" s="153"/>
      <c r="BC96" s="152"/>
      <c r="BD96" s="120"/>
      <c r="BE96" s="120"/>
      <c r="BF96" s="120"/>
      <c r="BG96" s="120"/>
      <c r="BH96" s="120"/>
      <c r="BI96" s="120"/>
      <c r="BJ96" s="120"/>
      <c r="BK96" s="120"/>
      <c r="BL96" s="120"/>
      <c r="BM96" s="120"/>
      <c r="BN96" s="120"/>
      <c r="BO96" s="153"/>
      <c r="BP96">
        <f>'Spotřeba zemního plynu'!BB96</f>
        <v>0</v>
      </c>
    </row>
    <row r="97" spans="1:67" x14ac:dyDescent="0.3">
      <c r="A97" s="89" t="s">
        <v>232</v>
      </c>
      <c r="B97" s="89" t="s">
        <v>233</v>
      </c>
      <c r="C97" s="80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81"/>
      <c r="P97" s="80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81"/>
      <c r="AC97" s="80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81"/>
      <c r="AP97" s="80"/>
      <c r="AQ97" s="73"/>
      <c r="AR97" s="73"/>
      <c r="AS97" s="73"/>
      <c r="AT97" s="73"/>
      <c r="AU97" s="73"/>
      <c r="AV97" s="73"/>
      <c r="AW97" s="73"/>
      <c r="AX97" s="73"/>
      <c r="AY97" s="73"/>
      <c r="AZ97" s="73"/>
      <c r="BA97" s="73"/>
      <c r="BB97" s="81"/>
      <c r="BC97" s="80"/>
      <c r="BD97" s="73"/>
      <c r="BE97" s="73"/>
      <c r="BF97" s="73"/>
      <c r="BG97" s="73"/>
      <c r="BH97" s="73"/>
      <c r="BI97" s="73"/>
      <c r="BJ97" s="73"/>
      <c r="BK97" s="73"/>
      <c r="BL97" s="73"/>
      <c r="BM97" s="73"/>
      <c r="BN97" s="73"/>
      <c r="BO97" s="81"/>
    </row>
    <row r="98" spans="1:67" x14ac:dyDescent="0.3">
      <c r="A98" s="89" t="s">
        <v>237</v>
      </c>
      <c r="B98" s="89" t="s">
        <v>238</v>
      </c>
      <c r="C98" s="80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81"/>
      <c r="P98" s="80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81"/>
      <c r="AC98" s="80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81"/>
      <c r="AP98" s="80"/>
      <c r="AQ98" s="73"/>
      <c r="AR98" s="73"/>
      <c r="AS98" s="73"/>
      <c r="AT98" s="73"/>
      <c r="AU98" s="73"/>
      <c r="AV98" s="73"/>
      <c r="AW98" s="73"/>
      <c r="AX98" s="73"/>
      <c r="AY98" s="73"/>
      <c r="AZ98" s="73"/>
      <c r="BA98" s="73"/>
      <c r="BB98" s="81"/>
      <c r="BC98" s="80"/>
      <c r="BD98" s="73"/>
      <c r="BE98" s="73"/>
      <c r="BF98" s="73"/>
      <c r="BG98" s="73"/>
      <c r="BH98" s="73"/>
      <c r="BI98" s="73"/>
      <c r="BJ98" s="73"/>
      <c r="BK98" s="73"/>
      <c r="BL98" s="73"/>
      <c r="BM98" s="73"/>
      <c r="BN98" s="73"/>
      <c r="BO98" s="81"/>
    </row>
    <row r="99" spans="1:67" x14ac:dyDescent="0.3">
      <c r="A99" s="89" t="s">
        <v>237</v>
      </c>
      <c r="B99" s="89" t="s">
        <v>240</v>
      </c>
      <c r="C99" s="80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81"/>
      <c r="P99" s="80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81"/>
      <c r="AC99" s="80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81"/>
      <c r="AP99" s="80"/>
      <c r="AQ99" s="73"/>
      <c r="AR99" s="73"/>
      <c r="AS99" s="73"/>
      <c r="AT99" s="73"/>
      <c r="AU99" s="73"/>
      <c r="AV99" s="73"/>
      <c r="AW99" s="73"/>
      <c r="AX99" s="73"/>
      <c r="AY99" s="73"/>
      <c r="AZ99" s="73"/>
      <c r="BA99" s="73"/>
      <c r="BB99" s="81"/>
      <c r="BC99" s="80"/>
      <c r="BD99" s="73"/>
      <c r="BE99" s="73"/>
      <c r="BF99" s="73"/>
      <c r="BG99" s="73"/>
      <c r="BH99" s="73"/>
      <c r="BI99" s="73"/>
      <c r="BJ99" s="73"/>
      <c r="BK99" s="73"/>
      <c r="BL99" s="73"/>
      <c r="BM99" s="73"/>
      <c r="BN99" s="73"/>
      <c r="BO99" s="81"/>
    </row>
    <row r="100" spans="1:67" x14ac:dyDescent="0.3">
      <c r="A100" s="89" t="s">
        <v>237</v>
      </c>
      <c r="B100" s="89" t="s">
        <v>242</v>
      </c>
      <c r="C100" s="80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81"/>
      <c r="P100" s="80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81"/>
      <c r="AC100" s="80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81"/>
      <c r="AP100" s="80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81"/>
      <c r="BC100" s="80"/>
      <c r="BD100" s="73"/>
      <c r="BE100" s="73"/>
      <c r="BF100" s="73"/>
      <c r="BG100" s="73"/>
      <c r="BH100" s="73"/>
      <c r="BI100" s="73"/>
      <c r="BJ100" s="73"/>
      <c r="BK100" s="73"/>
      <c r="BL100" s="73"/>
      <c r="BM100" s="73"/>
      <c r="BN100" s="73"/>
      <c r="BO100" s="81"/>
    </row>
    <row r="101" spans="1:67" x14ac:dyDescent="0.3">
      <c r="A101" s="89" t="s">
        <v>237</v>
      </c>
      <c r="B101" s="89" t="s">
        <v>244</v>
      </c>
      <c r="C101" s="80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81"/>
      <c r="P101" s="80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81"/>
      <c r="AC101" s="80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81"/>
      <c r="AP101" s="80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73"/>
      <c r="BB101" s="81"/>
      <c r="BC101" s="80"/>
      <c r="BD101" s="73"/>
      <c r="BE101" s="73"/>
      <c r="BF101" s="73"/>
      <c r="BG101" s="73"/>
      <c r="BH101" s="73"/>
      <c r="BI101" s="73"/>
      <c r="BJ101" s="73"/>
      <c r="BK101" s="73"/>
      <c r="BL101" s="73"/>
      <c r="BM101" s="73"/>
      <c r="BN101" s="73"/>
      <c r="BO101" s="81"/>
    </row>
    <row r="102" spans="1:67" x14ac:dyDescent="0.3">
      <c r="A102" s="89" t="s">
        <v>237</v>
      </c>
      <c r="B102" s="89" t="s">
        <v>246</v>
      </c>
      <c r="C102" s="80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81"/>
      <c r="P102" s="80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81"/>
      <c r="AC102" s="80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81"/>
      <c r="AP102" s="80"/>
      <c r="AQ102" s="73"/>
      <c r="AR102" s="73"/>
      <c r="AS102" s="73"/>
      <c r="AT102" s="73"/>
      <c r="AU102" s="73"/>
      <c r="AV102" s="73"/>
      <c r="AW102" s="73"/>
      <c r="AX102" s="73"/>
      <c r="AY102" s="73"/>
      <c r="AZ102" s="73"/>
      <c r="BA102" s="73"/>
      <c r="BB102" s="81"/>
      <c r="BC102" s="80"/>
      <c r="BD102" s="73"/>
      <c r="BE102" s="73"/>
      <c r="BF102" s="73"/>
      <c r="BG102" s="73"/>
      <c r="BH102" s="73"/>
      <c r="BI102" s="73"/>
      <c r="BJ102" s="73"/>
      <c r="BK102" s="73"/>
      <c r="BL102" s="73"/>
      <c r="BM102" s="73"/>
      <c r="BN102" s="73"/>
      <c r="BO102" s="81"/>
    </row>
    <row r="103" spans="1:67" x14ac:dyDescent="0.3">
      <c r="A103" s="89" t="s">
        <v>237</v>
      </c>
      <c r="B103" s="89" t="s">
        <v>248</v>
      </c>
      <c r="C103" s="80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81"/>
      <c r="P103" s="80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81"/>
      <c r="AC103" s="80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81"/>
      <c r="AP103" s="80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81"/>
      <c r="BC103" s="80"/>
      <c r="BD103" s="73"/>
      <c r="BE103" s="73"/>
      <c r="BF103" s="73"/>
      <c r="BG103" s="73"/>
      <c r="BH103" s="73"/>
      <c r="BI103" s="73"/>
      <c r="BJ103" s="73"/>
      <c r="BK103" s="73"/>
      <c r="BL103" s="73"/>
      <c r="BM103" s="73"/>
      <c r="BN103" s="73"/>
      <c r="BO103" s="81"/>
    </row>
    <row r="104" spans="1:67" x14ac:dyDescent="0.3">
      <c r="A104" s="89" t="s">
        <v>237</v>
      </c>
      <c r="B104" s="89" t="s">
        <v>250</v>
      </c>
      <c r="C104" s="80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81"/>
      <c r="P104" s="80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81"/>
      <c r="AC104" s="80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73"/>
      <c r="AO104" s="81"/>
      <c r="AP104" s="80"/>
      <c r="AQ104" s="73"/>
      <c r="AR104" s="73"/>
      <c r="AS104" s="73"/>
      <c r="AT104" s="73"/>
      <c r="AU104" s="73"/>
      <c r="AV104" s="73"/>
      <c r="AW104" s="73"/>
      <c r="AX104" s="73"/>
      <c r="AY104" s="73"/>
      <c r="AZ104" s="73"/>
      <c r="BA104" s="73"/>
      <c r="BB104" s="81"/>
      <c r="BC104" s="80"/>
      <c r="BD104" s="73"/>
      <c r="BE104" s="73"/>
      <c r="BF104" s="73"/>
      <c r="BG104" s="73"/>
      <c r="BH104" s="73"/>
      <c r="BI104" s="73"/>
      <c r="BJ104" s="73"/>
      <c r="BK104" s="73"/>
      <c r="BL104" s="73"/>
      <c r="BM104" s="73"/>
      <c r="BN104" s="73"/>
      <c r="BO104" s="81"/>
    </row>
    <row r="105" spans="1:67" x14ac:dyDescent="0.3">
      <c r="A105" s="89" t="s">
        <v>237</v>
      </c>
      <c r="B105" s="89" t="s">
        <v>252</v>
      </c>
      <c r="C105" s="80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81"/>
      <c r="P105" s="80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81"/>
      <c r="AC105" s="80"/>
      <c r="AD105" s="73"/>
      <c r="AE105" s="73"/>
      <c r="AF105" s="73"/>
      <c r="AG105" s="73"/>
      <c r="AH105" s="73"/>
      <c r="AI105" s="73"/>
      <c r="AJ105" s="73"/>
      <c r="AK105" s="73"/>
      <c r="AL105" s="73"/>
      <c r="AM105" s="73"/>
      <c r="AN105" s="73"/>
      <c r="AO105" s="81"/>
      <c r="AP105" s="80"/>
      <c r="AQ105" s="73"/>
      <c r="AR105" s="73"/>
      <c r="AS105" s="73"/>
      <c r="AT105" s="73"/>
      <c r="AU105" s="73"/>
      <c r="AV105" s="73"/>
      <c r="AW105" s="73"/>
      <c r="AX105" s="73"/>
      <c r="AY105" s="73"/>
      <c r="AZ105" s="73"/>
      <c r="BA105" s="73"/>
      <c r="BB105" s="81"/>
      <c r="BC105" s="80"/>
      <c r="BD105" s="73"/>
      <c r="BE105" s="73"/>
      <c r="BF105" s="73"/>
      <c r="BG105" s="73"/>
      <c r="BH105" s="73"/>
      <c r="BI105" s="73"/>
      <c r="BJ105" s="73"/>
      <c r="BK105" s="73"/>
      <c r="BL105" s="73"/>
      <c r="BM105" s="73"/>
      <c r="BN105" s="73"/>
      <c r="BO105" s="81"/>
    </row>
    <row r="106" spans="1:67" x14ac:dyDescent="0.3">
      <c r="A106" s="89" t="s">
        <v>237</v>
      </c>
      <c r="B106" s="89" t="s">
        <v>254</v>
      </c>
      <c r="C106" s="80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81"/>
      <c r="P106" s="80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81"/>
      <c r="AC106" s="80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81"/>
      <c r="AP106" s="80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81"/>
      <c r="BC106" s="80"/>
      <c r="BD106" s="73"/>
      <c r="BE106" s="73"/>
      <c r="BF106" s="73"/>
      <c r="BG106" s="73"/>
      <c r="BH106" s="73"/>
      <c r="BI106" s="73"/>
      <c r="BJ106" s="73"/>
      <c r="BK106" s="73"/>
      <c r="BL106" s="73"/>
      <c r="BM106" s="73"/>
      <c r="BN106" s="73"/>
      <c r="BO106" s="81"/>
    </row>
    <row r="107" spans="1:67" x14ac:dyDescent="0.3">
      <c r="A107" s="89" t="s">
        <v>237</v>
      </c>
      <c r="B107" s="89" t="s">
        <v>256</v>
      </c>
      <c r="C107" s="80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81"/>
      <c r="P107" s="80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81"/>
      <c r="AC107" s="80"/>
      <c r="AD107" s="73"/>
      <c r="AE107" s="73"/>
      <c r="AF107" s="73"/>
      <c r="AG107" s="73"/>
      <c r="AH107" s="73"/>
      <c r="AI107" s="73"/>
      <c r="AJ107" s="73"/>
      <c r="AK107" s="73"/>
      <c r="AL107" s="73"/>
      <c r="AM107" s="73"/>
      <c r="AN107" s="73"/>
      <c r="AO107" s="81"/>
      <c r="AP107" s="80"/>
      <c r="AQ107" s="73"/>
      <c r="AR107" s="73"/>
      <c r="AS107" s="73"/>
      <c r="AT107" s="73"/>
      <c r="AU107" s="73"/>
      <c r="AV107" s="73"/>
      <c r="AW107" s="73"/>
      <c r="AX107" s="73"/>
      <c r="AY107" s="73"/>
      <c r="AZ107" s="73"/>
      <c r="BA107" s="73"/>
      <c r="BB107" s="81"/>
      <c r="BC107" s="80"/>
      <c r="BD107" s="73"/>
      <c r="BE107" s="73"/>
      <c r="BF107" s="73"/>
      <c r="BG107" s="73"/>
      <c r="BH107" s="73"/>
      <c r="BI107" s="73"/>
      <c r="BJ107" s="73"/>
      <c r="BK107" s="73"/>
      <c r="BL107" s="73"/>
      <c r="BM107" s="73"/>
      <c r="BN107" s="73"/>
      <c r="BO107" s="81"/>
    </row>
    <row r="108" spans="1:67" x14ac:dyDescent="0.3">
      <c r="A108" s="89" t="s">
        <v>237</v>
      </c>
      <c r="B108" s="89" t="s">
        <v>258</v>
      </c>
      <c r="C108" s="80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81"/>
      <c r="P108" s="80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81"/>
      <c r="AC108" s="80"/>
      <c r="AD108" s="73"/>
      <c r="AE108" s="73"/>
      <c r="AF108" s="73"/>
      <c r="AG108" s="73"/>
      <c r="AH108" s="73"/>
      <c r="AI108" s="73"/>
      <c r="AJ108" s="73"/>
      <c r="AK108" s="73"/>
      <c r="AL108" s="73"/>
      <c r="AM108" s="73"/>
      <c r="AN108" s="73"/>
      <c r="AO108" s="81"/>
      <c r="AP108" s="80"/>
      <c r="AQ108" s="73"/>
      <c r="AR108" s="73"/>
      <c r="AS108" s="73"/>
      <c r="AT108" s="73"/>
      <c r="AU108" s="73"/>
      <c r="AV108" s="73"/>
      <c r="AW108" s="73"/>
      <c r="AX108" s="73"/>
      <c r="AY108" s="73"/>
      <c r="AZ108" s="73"/>
      <c r="BA108" s="73"/>
      <c r="BB108" s="81"/>
      <c r="BC108" s="80"/>
      <c r="BD108" s="73"/>
      <c r="BE108" s="73"/>
      <c r="BF108" s="73"/>
      <c r="BG108" s="73"/>
      <c r="BH108" s="73"/>
      <c r="BI108" s="73"/>
      <c r="BJ108" s="73"/>
      <c r="BK108" s="73"/>
      <c r="BL108" s="73"/>
      <c r="BM108" s="73"/>
      <c r="BN108" s="73"/>
      <c r="BO108" s="81"/>
    </row>
    <row r="109" spans="1:67" x14ac:dyDescent="0.3">
      <c r="A109" s="89" t="s">
        <v>237</v>
      </c>
      <c r="B109" s="89" t="s">
        <v>260</v>
      </c>
      <c r="C109" s="80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81"/>
      <c r="P109" s="80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81"/>
      <c r="AC109" s="80"/>
      <c r="AD109" s="73"/>
      <c r="AE109" s="73"/>
      <c r="AF109" s="73"/>
      <c r="AG109" s="73"/>
      <c r="AH109" s="73"/>
      <c r="AI109" s="73"/>
      <c r="AJ109" s="73"/>
      <c r="AK109" s="73"/>
      <c r="AL109" s="73"/>
      <c r="AM109" s="73"/>
      <c r="AN109" s="73"/>
      <c r="AO109" s="81"/>
      <c r="AP109" s="80"/>
      <c r="AQ109" s="73"/>
      <c r="AR109" s="73"/>
      <c r="AS109" s="73"/>
      <c r="AT109" s="73"/>
      <c r="AU109" s="73"/>
      <c r="AV109" s="73"/>
      <c r="AW109" s="73"/>
      <c r="AX109" s="73"/>
      <c r="AY109" s="73"/>
      <c r="AZ109" s="73"/>
      <c r="BA109" s="73"/>
      <c r="BB109" s="81"/>
      <c r="BC109" s="80"/>
      <c r="BD109" s="73"/>
      <c r="BE109" s="73"/>
      <c r="BF109" s="73"/>
      <c r="BG109" s="73"/>
      <c r="BH109" s="73"/>
      <c r="BI109" s="73"/>
      <c r="BJ109" s="73"/>
      <c r="BK109" s="73"/>
      <c r="BL109" s="73"/>
      <c r="BM109" s="73"/>
      <c r="BN109" s="73"/>
      <c r="BO109" s="81"/>
    </row>
    <row r="110" spans="1:67" x14ac:dyDescent="0.3">
      <c r="A110" s="89" t="s">
        <v>237</v>
      </c>
      <c r="B110" s="89" t="s">
        <v>262</v>
      </c>
      <c r="C110" s="80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81"/>
      <c r="P110" s="80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81"/>
      <c r="AC110" s="80"/>
      <c r="AD110" s="73"/>
      <c r="AE110" s="73"/>
      <c r="AF110" s="73"/>
      <c r="AG110" s="73"/>
      <c r="AH110" s="73"/>
      <c r="AI110" s="73"/>
      <c r="AJ110" s="73"/>
      <c r="AK110" s="73"/>
      <c r="AL110" s="73"/>
      <c r="AM110" s="73"/>
      <c r="AN110" s="73"/>
      <c r="AO110" s="81"/>
      <c r="AP110" s="80"/>
      <c r="AQ110" s="73"/>
      <c r="AR110" s="73"/>
      <c r="AS110" s="73"/>
      <c r="AT110" s="73"/>
      <c r="AU110" s="73"/>
      <c r="AV110" s="73"/>
      <c r="AW110" s="73"/>
      <c r="AX110" s="73"/>
      <c r="AY110" s="73"/>
      <c r="AZ110" s="73"/>
      <c r="BA110" s="73"/>
      <c r="BB110" s="81"/>
      <c r="BC110" s="80"/>
      <c r="BD110" s="73"/>
      <c r="BE110" s="73"/>
      <c r="BF110" s="73"/>
      <c r="BG110" s="73"/>
      <c r="BH110" s="73"/>
      <c r="BI110" s="73"/>
      <c r="BJ110" s="73"/>
      <c r="BK110" s="73"/>
      <c r="BL110" s="73"/>
      <c r="BM110" s="73"/>
      <c r="BN110" s="73"/>
      <c r="BO110" s="81"/>
    </row>
    <row r="111" spans="1:67" x14ac:dyDescent="0.3">
      <c r="A111" s="89" t="s">
        <v>237</v>
      </c>
      <c r="B111" s="89" t="s">
        <v>264</v>
      </c>
      <c r="C111" s="80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81"/>
      <c r="P111" s="80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81"/>
      <c r="AC111" s="80"/>
      <c r="AD111" s="73"/>
      <c r="AE111" s="73"/>
      <c r="AF111" s="73"/>
      <c r="AG111" s="73"/>
      <c r="AH111" s="73"/>
      <c r="AI111" s="73"/>
      <c r="AJ111" s="73"/>
      <c r="AK111" s="73"/>
      <c r="AL111" s="73"/>
      <c r="AM111" s="73"/>
      <c r="AN111" s="73"/>
      <c r="AO111" s="81"/>
      <c r="AP111" s="80"/>
      <c r="AQ111" s="73"/>
      <c r="AR111" s="73"/>
      <c r="AS111" s="73"/>
      <c r="AT111" s="73"/>
      <c r="AU111" s="73"/>
      <c r="AV111" s="73"/>
      <c r="AW111" s="73"/>
      <c r="AX111" s="73"/>
      <c r="AY111" s="73"/>
      <c r="AZ111" s="73"/>
      <c r="BA111" s="73"/>
      <c r="BB111" s="81"/>
      <c r="BC111" s="80"/>
      <c r="BD111" s="73"/>
      <c r="BE111" s="73"/>
      <c r="BF111" s="73"/>
      <c r="BG111" s="73"/>
      <c r="BH111" s="73"/>
      <c r="BI111" s="73"/>
      <c r="BJ111" s="73"/>
      <c r="BK111" s="73"/>
      <c r="BL111" s="73"/>
      <c r="BM111" s="73"/>
      <c r="BN111" s="73"/>
      <c r="BO111" s="81"/>
    </row>
    <row r="112" spans="1:67" x14ac:dyDescent="0.3">
      <c r="A112" s="89" t="s">
        <v>237</v>
      </c>
      <c r="B112" s="89" t="s">
        <v>266</v>
      </c>
      <c r="C112" s="80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81"/>
      <c r="P112" s="80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81"/>
      <c r="AC112" s="80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81"/>
      <c r="AP112" s="80"/>
      <c r="AQ112" s="73"/>
      <c r="AR112" s="73"/>
      <c r="AS112" s="73"/>
      <c r="AT112" s="73"/>
      <c r="AU112" s="73"/>
      <c r="AV112" s="73"/>
      <c r="AW112" s="73"/>
      <c r="AX112" s="73"/>
      <c r="AY112" s="73"/>
      <c r="AZ112" s="73"/>
      <c r="BA112" s="73"/>
      <c r="BB112" s="81"/>
      <c r="BC112" s="80"/>
      <c r="BD112" s="73"/>
      <c r="BE112" s="73"/>
      <c r="BF112" s="73"/>
      <c r="BG112" s="73"/>
      <c r="BH112" s="73"/>
      <c r="BI112" s="73"/>
      <c r="BJ112" s="73"/>
      <c r="BK112" s="73"/>
      <c r="BL112" s="73"/>
      <c r="BM112" s="73"/>
      <c r="BN112" s="73"/>
      <c r="BO112" s="81"/>
    </row>
    <row r="113" spans="1:67" x14ac:dyDescent="0.3">
      <c r="A113" s="89" t="s">
        <v>237</v>
      </c>
      <c r="B113" s="89" t="s">
        <v>268</v>
      </c>
      <c r="C113" s="80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81"/>
      <c r="P113" s="80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81"/>
      <c r="AC113" s="80"/>
      <c r="AD113" s="73"/>
      <c r="AE113" s="73"/>
      <c r="AF113" s="73"/>
      <c r="AG113" s="73"/>
      <c r="AH113" s="73"/>
      <c r="AI113" s="73"/>
      <c r="AJ113" s="73"/>
      <c r="AK113" s="73"/>
      <c r="AL113" s="73"/>
      <c r="AM113" s="73"/>
      <c r="AN113" s="73"/>
      <c r="AO113" s="81"/>
      <c r="AP113" s="80"/>
      <c r="AQ113" s="73"/>
      <c r="AR113" s="73"/>
      <c r="AS113" s="73"/>
      <c r="AT113" s="73"/>
      <c r="AU113" s="73"/>
      <c r="AV113" s="73"/>
      <c r="AW113" s="73"/>
      <c r="AX113" s="73"/>
      <c r="AY113" s="73"/>
      <c r="AZ113" s="73"/>
      <c r="BA113" s="73"/>
      <c r="BB113" s="81"/>
      <c r="BC113" s="80"/>
      <c r="BD113" s="73"/>
      <c r="BE113" s="73"/>
      <c r="BF113" s="73"/>
      <c r="BG113" s="73"/>
      <c r="BH113" s="73"/>
      <c r="BI113" s="73"/>
      <c r="BJ113" s="73"/>
      <c r="BK113" s="73"/>
      <c r="BL113" s="73"/>
      <c r="BM113" s="73"/>
      <c r="BN113" s="73"/>
      <c r="BO113" s="81"/>
    </row>
    <row r="114" spans="1:67" x14ac:dyDescent="0.3">
      <c r="A114" s="89" t="s">
        <v>237</v>
      </c>
      <c r="B114" s="89" t="s">
        <v>270</v>
      </c>
      <c r="C114" s="80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81"/>
      <c r="P114" s="80"/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73"/>
      <c r="AB114" s="81"/>
      <c r="AC114" s="80"/>
      <c r="AD114" s="73"/>
      <c r="AE114" s="73"/>
      <c r="AF114" s="73"/>
      <c r="AG114" s="73"/>
      <c r="AH114" s="73"/>
      <c r="AI114" s="73"/>
      <c r="AJ114" s="73"/>
      <c r="AK114" s="73"/>
      <c r="AL114" s="73"/>
      <c r="AM114" s="73"/>
      <c r="AN114" s="73"/>
      <c r="AO114" s="81"/>
      <c r="AP114" s="80"/>
      <c r="AQ114" s="73"/>
      <c r="AR114" s="73"/>
      <c r="AS114" s="73"/>
      <c r="AT114" s="73"/>
      <c r="AU114" s="73"/>
      <c r="AV114" s="73"/>
      <c r="AW114" s="73"/>
      <c r="AX114" s="73"/>
      <c r="AY114" s="73"/>
      <c r="AZ114" s="73"/>
      <c r="BA114" s="73"/>
      <c r="BB114" s="81"/>
      <c r="BC114" s="80"/>
      <c r="BD114" s="73"/>
      <c r="BE114" s="73"/>
      <c r="BF114" s="73"/>
      <c r="BG114" s="73"/>
      <c r="BH114" s="73"/>
      <c r="BI114" s="73"/>
      <c r="BJ114" s="73"/>
      <c r="BK114" s="73"/>
      <c r="BL114" s="73"/>
      <c r="BM114" s="73"/>
      <c r="BN114" s="73"/>
      <c r="BO114" s="81"/>
    </row>
    <row r="115" spans="1:67" x14ac:dyDescent="0.3">
      <c r="A115" s="89" t="s">
        <v>237</v>
      </c>
      <c r="B115" s="89" t="s">
        <v>272</v>
      </c>
      <c r="C115" s="80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81"/>
      <c r="P115" s="80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81"/>
      <c r="AC115" s="80"/>
      <c r="AD115" s="73"/>
      <c r="AE115" s="73"/>
      <c r="AF115" s="73"/>
      <c r="AG115" s="73"/>
      <c r="AH115" s="73"/>
      <c r="AI115" s="73"/>
      <c r="AJ115" s="73"/>
      <c r="AK115" s="73"/>
      <c r="AL115" s="73"/>
      <c r="AM115" s="73"/>
      <c r="AN115" s="73"/>
      <c r="AO115" s="81"/>
      <c r="AP115" s="80"/>
      <c r="AQ115" s="73"/>
      <c r="AR115" s="73"/>
      <c r="AS115" s="73"/>
      <c r="AT115" s="73"/>
      <c r="AU115" s="73"/>
      <c r="AV115" s="73"/>
      <c r="AW115" s="73"/>
      <c r="AX115" s="73"/>
      <c r="AY115" s="73"/>
      <c r="AZ115" s="73"/>
      <c r="BA115" s="73"/>
      <c r="BB115" s="81"/>
      <c r="BC115" s="80"/>
      <c r="BD115" s="73"/>
      <c r="BE115" s="73"/>
      <c r="BF115" s="73"/>
      <c r="BG115" s="73"/>
      <c r="BH115" s="73"/>
      <c r="BI115" s="73"/>
      <c r="BJ115" s="73"/>
      <c r="BK115" s="73"/>
      <c r="BL115" s="73"/>
      <c r="BM115" s="73"/>
      <c r="BN115" s="73"/>
      <c r="BO115" s="81"/>
    </row>
    <row r="116" spans="1:67" x14ac:dyDescent="0.3">
      <c r="A116" s="89" t="s">
        <v>237</v>
      </c>
      <c r="B116" s="89" t="s">
        <v>274</v>
      </c>
      <c r="C116" s="80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81"/>
      <c r="P116" s="80"/>
      <c r="Q116" s="73"/>
      <c r="R116" s="73"/>
      <c r="S116" s="73"/>
      <c r="T116" s="73"/>
      <c r="U116" s="73"/>
      <c r="V116" s="73"/>
      <c r="W116" s="73"/>
      <c r="X116" s="73"/>
      <c r="Y116" s="73"/>
      <c r="Z116" s="73"/>
      <c r="AA116" s="73"/>
      <c r="AB116" s="81"/>
      <c r="AC116" s="80"/>
      <c r="AD116" s="73"/>
      <c r="AE116" s="73"/>
      <c r="AF116" s="73"/>
      <c r="AG116" s="73"/>
      <c r="AH116" s="73"/>
      <c r="AI116" s="73"/>
      <c r="AJ116" s="73"/>
      <c r="AK116" s="73"/>
      <c r="AL116" s="73"/>
      <c r="AM116" s="73"/>
      <c r="AN116" s="73"/>
      <c r="AO116" s="81"/>
      <c r="AP116" s="80"/>
      <c r="AQ116" s="73"/>
      <c r="AR116" s="73"/>
      <c r="AS116" s="73"/>
      <c r="AT116" s="73"/>
      <c r="AU116" s="73"/>
      <c r="AV116" s="73"/>
      <c r="AW116" s="73"/>
      <c r="AX116" s="73"/>
      <c r="AY116" s="73"/>
      <c r="AZ116" s="73"/>
      <c r="BA116" s="73"/>
      <c r="BB116" s="81"/>
      <c r="BC116" s="80"/>
      <c r="BD116" s="73"/>
      <c r="BE116" s="73"/>
      <c r="BF116" s="73"/>
      <c r="BG116" s="73"/>
      <c r="BH116" s="73"/>
      <c r="BI116" s="73"/>
      <c r="BJ116" s="73"/>
      <c r="BK116" s="73"/>
      <c r="BL116" s="73"/>
      <c r="BM116" s="73"/>
      <c r="BN116" s="73"/>
      <c r="BO116" s="81"/>
    </row>
    <row r="117" spans="1:67" x14ac:dyDescent="0.3">
      <c r="A117" s="89" t="s">
        <v>237</v>
      </c>
      <c r="B117" s="89" t="s">
        <v>276</v>
      </c>
      <c r="C117" s="80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81"/>
      <c r="P117" s="80"/>
      <c r="Q117" s="73"/>
      <c r="R117" s="73"/>
      <c r="S117" s="73"/>
      <c r="T117" s="73"/>
      <c r="U117" s="73"/>
      <c r="V117" s="73"/>
      <c r="W117" s="73"/>
      <c r="X117" s="73"/>
      <c r="Y117" s="73"/>
      <c r="Z117" s="73"/>
      <c r="AA117" s="73"/>
      <c r="AB117" s="81"/>
      <c r="AC117" s="80"/>
      <c r="AD117" s="73"/>
      <c r="AE117" s="73"/>
      <c r="AF117" s="73"/>
      <c r="AG117" s="73"/>
      <c r="AH117" s="73"/>
      <c r="AI117" s="73"/>
      <c r="AJ117" s="73"/>
      <c r="AK117" s="73"/>
      <c r="AL117" s="73"/>
      <c r="AM117" s="73"/>
      <c r="AN117" s="73"/>
      <c r="AO117" s="81"/>
      <c r="AP117" s="80"/>
      <c r="AQ117" s="73"/>
      <c r="AR117" s="73"/>
      <c r="AS117" s="73"/>
      <c r="AT117" s="73"/>
      <c r="AU117" s="73"/>
      <c r="AV117" s="73"/>
      <c r="AW117" s="73"/>
      <c r="AX117" s="73"/>
      <c r="AY117" s="73"/>
      <c r="AZ117" s="73"/>
      <c r="BA117" s="73"/>
      <c r="BB117" s="81"/>
      <c r="BC117" s="80"/>
      <c r="BD117" s="73"/>
      <c r="BE117" s="73"/>
      <c r="BF117" s="73"/>
      <c r="BG117" s="73"/>
      <c r="BH117" s="73"/>
      <c r="BI117" s="73"/>
      <c r="BJ117" s="73"/>
      <c r="BK117" s="73"/>
      <c r="BL117" s="73"/>
      <c r="BM117" s="73"/>
      <c r="BN117" s="73"/>
      <c r="BO117" s="81"/>
    </row>
    <row r="118" spans="1:67" x14ac:dyDescent="0.3">
      <c r="A118" s="89" t="s">
        <v>237</v>
      </c>
      <c r="B118" s="89" t="s">
        <v>278</v>
      </c>
      <c r="C118" s="80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81"/>
      <c r="P118" s="80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81"/>
      <c r="AC118" s="80"/>
      <c r="AD118" s="73"/>
      <c r="AE118" s="73"/>
      <c r="AF118" s="73"/>
      <c r="AG118" s="73"/>
      <c r="AH118" s="73"/>
      <c r="AI118" s="73"/>
      <c r="AJ118" s="73"/>
      <c r="AK118" s="73"/>
      <c r="AL118" s="73"/>
      <c r="AM118" s="73"/>
      <c r="AN118" s="73"/>
      <c r="AO118" s="81"/>
      <c r="AP118" s="80"/>
      <c r="AQ118" s="73"/>
      <c r="AR118" s="73"/>
      <c r="AS118" s="73"/>
      <c r="AT118" s="73"/>
      <c r="AU118" s="73"/>
      <c r="AV118" s="73"/>
      <c r="AW118" s="73"/>
      <c r="AX118" s="73"/>
      <c r="AY118" s="73"/>
      <c r="AZ118" s="73"/>
      <c r="BA118" s="73"/>
      <c r="BB118" s="81"/>
      <c r="BC118" s="80"/>
      <c r="BD118" s="73"/>
      <c r="BE118" s="73"/>
      <c r="BF118" s="73"/>
      <c r="BG118" s="73"/>
      <c r="BH118" s="73"/>
      <c r="BI118" s="73"/>
      <c r="BJ118" s="73"/>
      <c r="BK118" s="73"/>
      <c r="BL118" s="73"/>
      <c r="BM118" s="73"/>
      <c r="BN118" s="73"/>
      <c r="BO118" s="81"/>
    </row>
    <row r="119" spans="1:67" x14ac:dyDescent="0.3">
      <c r="A119" s="89" t="s">
        <v>237</v>
      </c>
      <c r="B119" s="89" t="s">
        <v>280</v>
      </c>
      <c r="C119" s="80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81"/>
      <c r="P119" s="80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81"/>
      <c r="AC119" s="80"/>
      <c r="AD119" s="73"/>
      <c r="AE119" s="73"/>
      <c r="AF119" s="73"/>
      <c r="AG119" s="73"/>
      <c r="AH119" s="73"/>
      <c r="AI119" s="73"/>
      <c r="AJ119" s="73"/>
      <c r="AK119" s="73"/>
      <c r="AL119" s="73"/>
      <c r="AM119" s="73"/>
      <c r="AN119" s="73"/>
      <c r="AO119" s="81"/>
      <c r="AP119" s="80"/>
      <c r="AQ119" s="73"/>
      <c r="AR119" s="73"/>
      <c r="AS119" s="73"/>
      <c r="AT119" s="73"/>
      <c r="AU119" s="73"/>
      <c r="AV119" s="73"/>
      <c r="AW119" s="73"/>
      <c r="AX119" s="73"/>
      <c r="AY119" s="73"/>
      <c r="AZ119" s="73"/>
      <c r="BA119" s="73"/>
      <c r="BB119" s="81"/>
      <c r="BC119" s="80"/>
      <c r="BD119" s="73"/>
      <c r="BE119" s="73"/>
      <c r="BF119" s="73"/>
      <c r="BG119" s="73"/>
      <c r="BH119" s="73"/>
      <c r="BI119" s="73"/>
      <c r="BJ119" s="73"/>
      <c r="BK119" s="73"/>
      <c r="BL119" s="73"/>
      <c r="BM119" s="73"/>
      <c r="BN119" s="73"/>
      <c r="BO119" s="81"/>
    </row>
    <row r="120" spans="1:67" x14ac:dyDescent="0.3">
      <c r="A120" s="89" t="s">
        <v>237</v>
      </c>
      <c r="B120" s="89" t="s">
        <v>282</v>
      </c>
      <c r="C120" s="80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81"/>
      <c r="P120" s="80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81"/>
      <c r="AC120" s="80"/>
      <c r="AD120" s="73"/>
      <c r="AE120" s="73"/>
      <c r="AF120" s="73"/>
      <c r="AG120" s="73"/>
      <c r="AH120" s="73"/>
      <c r="AI120" s="73"/>
      <c r="AJ120" s="73"/>
      <c r="AK120" s="73"/>
      <c r="AL120" s="73"/>
      <c r="AM120" s="73"/>
      <c r="AN120" s="73"/>
      <c r="AO120" s="81"/>
      <c r="AP120" s="80"/>
      <c r="AQ120" s="73"/>
      <c r="AR120" s="73"/>
      <c r="AS120" s="73"/>
      <c r="AT120" s="73"/>
      <c r="AU120" s="73"/>
      <c r="AV120" s="73"/>
      <c r="AW120" s="73"/>
      <c r="AX120" s="73"/>
      <c r="AY120" s="73"/>
      <c r="AZ120" s="73"/>
      <c r="BA120" s="73"/>
      <c r="BB120" s="81"/>
      <c r="BC120" s="80"/>
      <c r="BD120" s="73"/>
      <c r="BE120" s="73"/>
      <c r="BF120" s="73"/>
      <c r="BG120" s="73"/>
      <c r="BH120" s="73"/>
      <c r="BI120" s="73"/>
      <c r="BJ120" s="73"/>
      <c r="BK120" s="73"/>
      <c r="BL120" s="73"/>
      <c r="BM120" s="73"/>
      <c r="BN120" s="73"/>
      <c r="BO120" s="81"/>
    </row>
    <row r="121" spans="1:67" x14ac:dyDescent="0.3">
      <c r="A121" s="89" t="s">
        <v>237</v>
      </c>
      <c r="B121" s="89" t="s">
        <v>284</v>
      </c>
      <c r="C121" s="80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81"/>
      <c r="P121" s="80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81"/>
      <c r="AC121" s="80"/>
      <c r="AD121" s="73"/>
      <c r="AE121" s="73"/>
      <c r="AF121" s="73"/>
      <c r="AG121" s="73"/>
      <c r="AH121" s="73"/>
      <c r="AI121" s="73"/>
      <c r="AJ121" s="73"/>
      <c r="AK121" s="73"/>
      <c r="AL121" s="73"/>
      <c r="AM121" s="73"/>
      <c r="AN121" s="73"/>
      <c r="AO121" s="81"/>
      <c r="AP121" s="80"/>
      <c r="AQ121" s="73"/>
      <c r="AR121" s="73"/>
      <c r="AS121" s="73"/>
      <c r="AT121" s="73"/>
      <c r="AU121" s="73"/>
      <c r="AV121" s="73"/>
      <c r="AW121" s="73"/>
      <c r="AX121" s="73"/>
      <c r="AY121" s="73"/>
      <c r="AZ121" s="73"/>
      <c r="BA121" s="73"/>
      <c r="BB121" s="81"/>
      <c r="BC121" s="80"/>
      <c r="BD121" s="73"/>
      <c r="BE121" s="73"/>
      <c r="BF121" s="73"/>
      <c r="BG121" s="73"/>
      <c r="BH121" s="73"/>
      <c r="BI121" s="73"/>
      <c r="BJ121" s="73"/>
      <c r="BK121" s="73"/>
      <c r="BL121" s="73"/>
      <c r="BM121" s="73"/>
      <c r="BN121" s="73"/>
      <c r="BO121" s="81"/>
    </row>
    <row r="122" spans="1:67" x14ac:dyDescent="0.3">
      <c r="A122" s="89" t="s">
        <v>237</v>
      </c>
      <c r="B122" s="89" t="s">
        <v>286</v>
      </c>
      <c r="C122" s="80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81"/>
      <c r="P122" s="80"/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81"/>
      <c r="AC122" s="80"/>
      <c r="AD122" s="73"/>
      <c r="AE122" s="73"/>
      <c r="AF122" s="73"/>
      <c r="AG122" s="73"/>
      <c r="AH122" s="73"/>
      <c r="AI122" s="73"/>
      <c r="AJ122" s="73"/>
      <c r="AK122" s="73"/>
      <c r="AL122" s="73"/>
      <c r="AM122" s="73"/>
      <c r="AN122" s="73"/>
      <c r="AO122" s="81"/>
      <c r="AP122" s="80"/>
      <c r="AQ122" s="73"/>
      <c r="AR122" s="73"/>
      <c r="AS122" s="73"/>
      <c r="AT122" s="73"/>
      <c r="AU122" s="73"/>
      <c r="AV122" s="73"/>
      <c r="AW122" s="73"/>
      <c r="AX122" s="73"/>
      <c r="AY122" s="73"/>
      <c r="AZ122" s="73"/>
      <c r="BA122" s="73"/>
      <c r="BB122" s="81"/>
      <c r="BC122" s="80"/>
      <c r="BD122" s="73"/>
      <c r="BE122" s="73"/>
      <c r="BF122" s="73"/>
      <c r="BG122" s="73"/>
      <c r="BH122" s="73"/>
      <c r="BI122" s="73"/>
      <c r="BJ122" s="73"/>
      <c r="BK122" s="73"/>
      <c r="BL122" s="73"/>
      <c r="BM122" s="73"/>
      <c r="BN122" s="73"/>
      <c r="BO122" s="81"/>
    </row>
    <row r="123" spans="1:67" x14ac:dyDescent="0.3">
      <c r="A123" s="89" t="s">
        <v>237</v>
      </c>
      <c r="B123" s="89" t="s">
        <v>288</v>
      </c>
      <c r="C123" s="80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81"/>
      <c r="P123" s="80"/>
      <c r="Q123" s="73"/>
      <c r="R123" s="73"/>
      <c r="S123" s="73"/>
      <c r="T123" s="73"/>
      <c r="U123" s="73"/>
      <c r="V123" s="73"/>
      <c r="W123" s="73"/>
      <c r="X123" s="73"/>
      <c r="Y123" s="73"/>
      <c r="Z123" s="73"/>
      <c r="AA123" s="73"/>
      <c r="AB123" s="81"/>
      <c r="AC123" s="80"/>
      <c r="AD123" s="73"/>
      <c r="AE123" s="73"/>
      <c r="AF123" s="73"/>
      <c r="AG123" s="73"/>
      <c r="AH123" s="73"/>
      <c r="AI123" s="73"/>
      <c r="AJ123" s="73"/>
      <c r="AK123" s="73"/>
      <c r="AL123" s="73"/>
      <c r="AM123" s="73"/>
      <c r="AN123" s="73"/>
      <c r="AO123" s="81"/>
      <c r="AP123" s="80"/>
      <c r="AQ123" s="73"/>
      <c r="AR123" s="73"/>
      <c r="AS123" s="73"/>
      <c r="AT123" s="73"/>
      <c r="AU123" s="73"/>
      <c r="AV123" s="73"/>
      <c r="AW123" s="73"/>
      <c r="AX123" s="73"/>
      <c r="AY123" s="73"/>
      <c r="AZ123" s="73"/>
      <c r="BA123" s="73"/>
      <c r="BB123" s="81"/>
      <c r="BC123" s="80"/>
      <c r="BD123" s="73"/>
      <c r="BE123" s="73"/>
      <c r="BF123" s="73"/>
      <c r="BG123" s="73"/>
      <c r="BH123" s="73"/>
      <c r="BI123" s="73"/>
      <c r="BJ123" s="73"/>
      <c r="BK123" s="73"/>
      <c r="BL123" s="73"/>
      <c r="BM123" s="73"/>
      <c r="BN123" s="73"/>
      <c r="BO123" s="81"/>
    </row>
    <row r="124" spans="1:67" x14ac:dyDescent="0.3">
      <c r="A124" s="89" t="s">
        <v>237</v>
      </c>
      <c r="B124" s="89" t="s">
        <v>290</v>
      </c>
      <c r="C124" s="80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81"/>
      <c r="P124" s="80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81"/>
      <c r="AC124" s="80"/>
      <c r="AD124" s="73"/>
      <c r="AE124" s="73"/>
      <c r="AF124" s="73"/>
      <c r="AG124" s="73"/>
      <c r="AH124" s="73"/>
      <c r="AI124" s="73"/>
      <c r="AJ124" s="73"/>
      <c r="AK124" s="73"/>
      <c r="AL124" s="73"/>
      <c r="AM124" s="73"/>
      <c r="AN124" s="73"/>
      <c r="AO124" s="81"/>
      <c r="AP124" s="80"/>
      <c r="AQ124" s="73"/>
      <c r="AR124" s="73"/>
      <c r="AS124" s="73"/>
      <c r="AT124" s="73"/>
      <c r="AU124" s="73"/>
      <c r="AV124" s="73"/>
      <c r="AW124" s="73"/>
      <c r="AX124" s="73"/>
      <c r="AY124" s="73"/>
      <c r="AZ124" s="73"/>
      <c r="BA124" s="73"/>
      <c r="BB124" s="81"/>
      <c r="BC124" s="80"/>
      <c r="BD124" s="73"/>
      <c r="BE124" s="73"/>
      <c r="BF124" s="73"/>
      <c r="BG124" s="73"/>
      <c r="BH124" s="73"/>
      <c r="BI124" s="73"/>
      <c r="BJ124" s="73"/>
      <c r="BK124" s="73"/>
      <c r="BL124" s="73"/>
      <c r="BM124" s="73"/>
      <c r="BN124" s="73"/>
      <c r="BO124" s="81"/>
    </row>
    <row r="125" spans="1:67" x14ac:dyDescent="0.3">
      <c r="A125" s="89" t="s">
        <v>237</v>
      </c>
      <c r="B125" s="89" t="s">
        <v>292</v>
      </c>
      <c r="C125" s="80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81"/>
      <c r="P125" s="80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81"/>
      <c r="AC125" s="80"/>
      <c r="AD125" s="73"/>
      <c r="AE125" s="73"/>
      <c r="AF125" s="73"/>
      <c r="AG125" s="73"/>
      <c r="AH125" s="73"/>
      <c r="AI125" s="73"/>
      <c r="AJ125" s="73"/>
      <c r="AK125" s="73"/>
      <c r="AL125" s="73"/>
      <c r="AM125" s="73"/>
      <c r="AN125" s="73"/>
      <c r="AO125" s="81"/>
      <c r="AP125" s="80"/>
      <c r="AQ125" s="73"/>
      <c r="AR125" s="73"/>
      <c r="AS125" s="73"/>
      <c r="AT125" s="73"/>
      <c r="AU125" s="73"/>
      <c r="AV125" s="73"/>
      <c r="AW125" s="73"/>
      <c r="AX125" s="73"/>
      <c r="AY125" s="73"/>
      <c r="AZ125" s="73"/>
      <c r="BA125" s="73"/>
      <c r="BB125" s="81"/>
      <c r="BC125" s="80"/>
      <c r="BD125" s="73"/>
      <c r="BE125" s="73"/>
      <c r="BF125" s="73"/>
      <c r="BG125" s="73"/>
      <c r="BH125" s="73"/>
      <c r="BI125" s="73"/>
      <c r="BJ125" s="73"/>
      <c r="BK125" s="73"/>
      <c r="BL125" s="73"/>
      <c r="BM125" s="73"/>
      <c r="BN125" s="73"/>
      <c r="BO125" s="81"/>
    </row>
    <row r="126" spans="1:67" x14ac:dyDescent="0.3">
      <c r="A126" s="89" t="s">
        <v>237</v>
      </c>
      <c r="B126" s="89" t="s">
        <v>294</v>
      </c>
      <c r="C126" s="80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81"/>
      <c r="P126" s="80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81"/>
      <c r="AC126" s="80"/>
      <c r="AD126" s="73"/>
      <c r="AE126" s="73"/>
      <c r="AF126" s="73"/>
      <c r="AG126" s="73"/>
      <c r="AH126" s="73"/>
      <c r="AI126" s="73"/>
      <c r="AJ126" s="73"/>
      <c r="AK126" s="73"/>
      <c r="AL126" s="73"/>
      <c r="AM126" s="73"/>
      <c r="AN126" s="73"/>
      <c r="AO126" s="81"/>
      <c r="AP126" s="80"/>
      <c r="AQ126" s="73"/>
      <c r="AR126" s="73"/>
      <c r="AS126" s="73"/>
      <c r="AT126" s="73"/>
      <c r="AU126" s="73"/>
      <c r="AV126" s="73"/>
      <c r="AW126" s="73"/>
      <c r="AX126" s="73"/>
      <c r="AY126" s="73"/>
      <c r="AZ126" s="73"/>
      <c r="BA126" s="73"/>
      <c r="BB126" s="81"/>
      <c r="BC126" s="80"/>
      <c r="BD126" s="73"/>
      <c r="BE126" s="73"/>
      <c r="BF126" s="73"/>
      <c r="BG126" s="73"/>
      <c r="BH126" s="73"/>
      <c r="BI126" s="73"/>
      <c r="BJ126" s="73"/>
      <c r="BK126" s="73"/>
      <c r="BL126" s="73"/>
      <c r="BM126" s="73"/>
      <c r="BN126" s="73"/>
      <c r="BO126" s="81"/>
    </row>
    <row r="127" spans="1:67" x14ac:dyDescent="0.3">
      <c r="A127" s="89" t="s">
        <v>237</v>
      </c>
      <c r="B127" s="89" t="s">
        <v>296</v>
      </c>
      <c r="C127" s="80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81"/>
      <c r="P127" s="80"/>
      <c r="Q127" s="73"/>
      <c r="R127" s="73"/>
      <c r="S127" s="73"/>
      <c r="T127" s="73"/>
      <c r="U127" s="73"/>
      <c r="V127" s="73"/>
      <c r="W127" s="73"/>
      <c r="X127" s="73"/>
      <c r="Y127" s="73"/>
      <c r="Z127" s="73"/>
      <c r="AA127" s="73"/>
      <c r="AB127" s="81"/>
      <c r="AC127" s="80"/>
      <c r="AD127" s="73"/>
      <c r="AE127" s="73"/>
      <c r="AF127" s="73"/>
      <c r="AG127" s="73"/>
      <c r="AH127" s="73"/>
      <c r="AI127" s="73"/>
      <c r="AJ127" s="73"/>
      <c r="AK127" s="73"/>
      <c r="AL127" s="73"/>
      <c r="AM127" s="73"/>
      <c r="AN127" s="73"/>
      <c r="AO127" s="81"/>
      <c r="AP127" s="80"/>
      <c r="AQ127" s="73"/>
      <c r="AR127" s="73"/>
      <c r="AS127" s="73"/>
      <c r="AT127" s="73"/>
      <c r="AU127" s="73"/>
      <c r="AV127" s="73"/>
      <c r="AW127" s="73"/>
      <c r="AX127" s="73"/>
      <c r="AY127" s="73"/>
      <c r="AZ127" s="73"/>
      <c r="BA127" s="73"/>
      <c r="BB127" s="81"/>
      <c r="BC127" s="80"/>
      <c r="BD127" s="73"/>
      <c r="BE127" s="73"/>
      <c r="BF127" s="73"/>
      <c r="BG127" s="73"/>
      <c r="BH127" s="73"/>
      <c r="BI127" s="73"/>
      <c r="BJ127" s="73"/>
      <c r="BK127" s="73"/>
      <c r="BL127" s="73"/>
      <c r="BM127" s="73"/>
      <c r="BN127" s="73"/>
      <c r="BO127" s="81"/>
    </row>
    <row r="128" spans="1:67" x14ac:dyDescent="0.3">
      <c r="A128" s="89" t="s">
        <v>237</v>
      </c>
      <c r="B128" s="89" t="s">
        <v>298</v>
      </c>
      <c r="C128" s="80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81"/>
      <c r="P128" s="80"/>
      <c r="Q128" s="73"/>
      <c r="R128" s="73"/>
      <c r="S128" s="73"/>
      <c r="T128" s="73"/>
      <c r="U128" s="73"/>
      <c r="V128" s="73"/>
      <c r="W128" s="73"/>
      <c r="X128" s="73"/>
      <c r="Y128" s="73"/>
      <c r="Z128" s="73"/>
      <c r="AA128" s="73"/>
      <c r="AB128" s="81"/>
      <c r="AC128" s="80"/>
      <c r="AD128" s="73"/>
      <c r="AE128" s="73"/>
      <c r="AF128" s="73"/>
      <c r="AG128" s="73"/>
      <c r="AH128" s="73"/>
      <c r="AI128" s="73"/>
      <c r="AJ128" s="73"/>
      <c r="AK128" s="73"/>
      <c r="AL128" s="73"/>
      <c r="AM128" s="73"/>
      <c r="AN128" s="73"/>
      <c r="AO128" s="81"/>
      <c r="AP128" s="80"/>
      <c r="AQ128" s="73"/>
      <c r="AR128" s="73"/>
      <c r="AS128" s="73"/>
      <c r="AT128" s="73"/>
      <c r="AU128" s="73"/>
      <c r="AV128" s="73"/>
      <c r="AW128" s="73"/>
      <c r="AX128" s="73"/>
      <c r="AY128" s="73"/>
      <c r="AZ128" s="73"/>
      <c r="BA128" s="73"/>
      <c r="BB128" s="81"/>
      <c r="BC128" s="80"/>
      <c r="BD128" s="73"/>
      <c r="BE128" s="73"/>
      <c r="BF128" s="73"/>
      <c r="BG128" s="73"/>
      <c r="BH128" s="73"/>
      <c r="BI128" s="73"/>
      <c r="BJ128" s="73"/>
      <c r="BK128" s="73"/>
      <c r="BL128" s="73"/>
      <c r="BM128" s="73"/>
      <c r="BN128" s="73"/>
      <c r="BO128" s="81"/>
    </row>
    <row r="129" spans="1:67" x14ac:dyDescent="0.3">
      <c r="A129" s="89" t="s">
        <v>237</v>
      </c>
      <c r="B129" s="89" t="s">
        <v>300</v>
      </c>
      <c r="C129" s="80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81"/>
      <c r="P129" s="80"/>
      <c r="Q129" s="73"/>
      <c r="R129" s="73"/>
      <c r="S129" s="73"/>
      <c r="T129" s="73"/>
      <c r="U129" s="73"/>
      <c r="V129" s="73"/>
      <c r="W129" s="73"/>
      <c r="X129" s="73"/>
      <c r="Y129" s="73"/>
      <c r="Z129" s="73"/>
      <c r="AA129" s="73"/>
      <c r="AB129" s="81"/>
      <c r="AC129" s="80"/>
      <c r="AD129" s="73"/>
      <c r="AE129" s="73"/>
      <c r="AF129" s="73"/>
      <c r="AG129" s="73"/>
      <c r="AH129" s="73"/>
      <c r="AI129" s="73"/>
      <c r="AJ129" s="73"/>
      <c r="AK129" s="73"/>
      <c r="AL129" s="73"/>
      <c r="AM129" s="73"/>
      <c r="AN129" s="73"/>
      <c r="AO129" s="81"/>
      <c r="AP129" s="80"/>
      <c r="AQ129" s="73"/>
      <c r="AR129" s="73"/>
      <c r="AS129" s="73"/>
      <c r="AT129" s="73"/>
      <c r="AU129" s="73"/>
      <c r="AV129" s="73"/>
      <c r="AW129" s="73"/>
      <c r="AX129" s="73"/>
      <c r="AY129" s="73"/>
      <c r="AZ129" s="73"/>
      <c r="BA129" s="73"/>
      <c r="BB129" s="81"/>
      <c r="BC129" s="80"/>
      <c r="BD129" s="73"/>
      <c r="BE129" s="73"/>
      <c r="BF129" s="73"/>
      <c r="BG129" s="73"/>
      <c r="BH129" s="73"/>
      <c r="BI129" s="73"/>
      <c r="BJ129" s="73"/>
      <c r="BK129" s="73"/>
      <c r="BL129" s="73"/>
      <c r="BM129" s="73"/>
      <c r="BN129" s="73"/>
      <c r="BO129" s="81"/>
    </row>
    <row r="130" spans="1:67" x14ac:dyDescent="0.3">
      <c r="A130" s="89" t="s">
        <v>237</v>
      </c>
      <c r="B130" s="89" t="s">
        <v>302</v>
      </c>
      <c r="C130" s="80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81"/>
      <c r="P130" s="80"/>
      <c r="Q130" s="73"/>
      <c r="R130" s="73"/>
      <c r="S130" s="73"/>
      <c r="T130" s="73"/>
      <c r="U130" s="73"/>
      <c r="V130" s="73"/>
      <c r="W130" s="73"/>
      <c r="X130" s="73"/>
      <c r="Y130" s="73"/>
      <c r="Z130" s="73"/>
      <c r="AA130" s="73"/>
      <c r="AB130" s="81"/>
      <c r="AC130" s="80"/>
      <c r="AD130" s="73"/>
      <c r="AE130" s="73"/>
      <c r="AF130" s="73"/>
      <c r="AG130" s="73"/>
      <c r="AH130" s="73"/>
      <c r="AI130" s="73"/>
      <c r="AJ130" s="73"/>
      <c r="AK130" s="73"/>
      <c r="AL130" s="73"/>
      <c r="AM130" s="73"/>
      <c r="AN130" s="73"/>
      <c r="AO130" s="81"/>
      <c r="AP130" s="80"/>
      <c r="AQ130" s="73"/>
      <c r="AR130" s="73"/>
      <c r="AS130" s="73"/>
      <c r="AT130" s="73"/>
      <c r="AU130" s="73"/>
      <c r="AV130" s="73"/>
      <c r="AW130" s="73"/>
      <c r="AX130" s="73"/>
      <c r="AY130" s="73"/>
      <c r="AZ130" s="73"/>
      <c r="BA130" s="73"/>
      <c r="BB130" s="81"/>
      <c r="BC130" s="80"/>
      <c r="BD130" s="73"/>
      <c r="BE130" s="73"/>
      <c r="BF130" s="73"/>
      <c r="BG130" s="73"/>
      <c r="BH130" s="73"/>
      <c r="BI130" s="73"/>
      <c r="BJ130" s="73"/>
      <c r="BK130" s="73"/>
      <c r="BL130" s="73"/>
      <c r="BM130" s="73"/>
      <c r="BN130" s="73"/>
      <c r="BO130" s="81"/>
    </row>
    <row r="131" spans="1:67" x14ac:dyDescent="0.3">
      <c r="A131" s="89" t="s">
        <v>237</v>
      </c>
      <c r="B131" s="89" t="s">
        <v>304</v>
      </c>
      <c r="C131" s="80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81"/>
      <c r="P131" s="80"/>
      <c r="Q131" s="73"/>
      <c r="R131" s="73"/>
      <c r="S131" s="73"/>
      <c r="T131" s="73"/>
      <c r="U131" s="73"/>
      <c r="V131" s="73"/>
      <c r="W131" s="73"/>
      <c r="X131" s="73"/>
      <c r="Y131" s="73"/>
      <c r="Z131" s="73"/>
      <c r="AA131" s="73"/>
      <c r="AB131" s="81"/>
      <c r="AC131" s="80"/>
      <c r="AD131" s="73"/>
      <c r="AE131" s="73"/>
      <c r="AF131" s="73"/>
      <c r="AG131" s="73"/>
      <c r="AH131" s="73"/>
      <c r="AI131" s="73"/>
      <c r="AJ131" s="73"/>
      <c r="AK131" s="73"/>
      <c r="AL131" s="73"/>
      <c r="AM131" s="73"/>
      <c r="AN131" s="73"/>
      <c r="AO131" s="81"/>
      <c r="AP131" s="80"/>
      <c r="AQ131" s="73"/>
      <c r="AR131" s="73"/>
      <c r="AS131" s="73"/>
      <c r="AT131" s="73"/>
      <c r="AU131" s="73"/>
      <c r="AV131" s="73"/>
      <c r="AW131" s="73"/>
      <c r="AX131" s="73"/>
      <c r="AY131" s="73"/>
      <c r="AZ131" s="73"/>
      <c r="BA131" s="73"/>
      <c r="BB131" s="81"/>
      <c r="BC131" s="80"/>
      <c r="BD131" s="73"/>
      <c r="BE131" s="73"/>
      <c r="BF131" s="73"/>
      <c r="BG131" s="73"/>
      <c r="BH131" s="73"/>
      <c r="BI131" s="73"/>
      <c r="BJ131" s="73"/>
      <c r="BK131" s="73"/>
      <c r="BL131" s="73"/>
      <c r="BM131" s="73"/>
      <c r="BN131" s="73"/>
      <c r="BO131" s="81"/>
    </row>
    <row r="132" spans="1:67" x14ac:dyDescent="0.3">
      <c r="A132" s="89" t="s">
        <v>237</v>
      </c>
      <c r="B132" s="89" t="s">
        <v>306</v>
      </c>
      <c r="C132" s="80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81"/>
      <c r="P132" s="80"/>
      <c r="Q132" s="73"/>
      <c r="R132" s="73"/>
      <c r="S132" s="73"/>
      <c r="T132" s="73"/>
      <c r="U132" s="73"/>
      <c r="V132" s="73"/>
      <c r="W132" s="73"/>
      <c r="X132" s="73"/>
      <c r="Y132" s="73"/>
      <c r="Z132" s="73"/>
      <c r="AA132" s="73"/>
      <c r="AB132" s="81"/>
      <c r="AC132" s="80"/>
      <c r="AD132" s="73"/>
      <c r="AE132" s="73"/>
      <c r="AF132" s="73"/>
      <c r="AG132" s="73"/>
      <c r="AH132" s="73"/>
      <c r="AI132" s="73"/>
      <c r="AJ132" s="73"/>
      <c r="AK132" s="73"/>
      <c r="AL132" s="73"/>
      <c r="AM132" s="73"/>
      <c r="AN132" s="73"/>
      <c r="AO132" s="81"/>
      <c r="AP132" s="80"/>
      <c r="AQ132" s="73"/>
      <c r="AR132" s="73"/>
      <c r="AS132" s="73"/>
      <c r="AT132" s="73"/>
      <c r="AU132" s="73"/>
      <c r="AV132" s="73"/>
      <c r="AW132" s="73"/>
      <c r="AX132" s="73"/>
      <c r="AY132" s="73"/>
      <c r="AZ132" s="73"/>
      <c r="BA132" s="73"/>
      <c r="BB132" s="81"/>
      <c r="BC132" s="80"/>
      <c r="BD132" s="73"/>
      <c r="BE132" s="73"/>
      <c r="BF132" s="73"/>
      <c r="BG132" s="73"/>
      <c r="BH132" s="73"/>
      <c r="BI132" s="73"/>
      <c r="BJ132" s="73"/>
      <c r="BK132" s="73"/>
      <c r="BL132" s="73"/>
      <c r="BM132" s="73"/>
      <c r="BN132" s="73"/>
      <c r="BO132" s="81"/>
    </row>
    <row r="133" spans="1:67" x14ac:dyDescent="0.3">
      <c r="A133" s="89" t="s">
        <v>237</v>
      </c>
      <c r="B133" s="89" t="s">
        <v>308</v>
      </c>
      <c r="C133" s="80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81"/>
      <c r="P133" s="80"/>
      <c r="Q133" s="73"/>
      <c r="R133" s="73"/>
      <c r="S133" s="73"/>
      <c r="T133" s="73"/>
      <c r="U133" s="73"/>
      <c r="V133" s="73"/>
      <c r="W133" s="73"/>
      <c r="X133" s="73"/>
      <c r="Y133" s="73"/>
      <c r="Z133" s="73"/>
      <c r="AA133" s="73"/>
      <c r="AB133" s="81"/>
      <c r="AC133" s="80"/>
      <c r="AD133" s="73"/>
      <c r="AE133" s="73"/>
      <c r="AF133" s="73"/>
      <c r="AG133" s="73"/>
      <c r="AH133" s="73"/>
      <c r="AI133" s="73"/>
      <c r="AJ133" s="73"/>
      <c r="AK133" s="73"/>
      <c r="AL133" s="73"/>
      <c r="AM133" s="73"/>
      <c r="AN133" s="73"/>
      <c r="AO133" s="81"/>
      <c r="AP133" s="80"/>
      <c r="AQ133" s="73"/>
      <c r="AR133" s="73"/>
      <c r="AS133" s="73"/>
      <c r="AT133" s="73"/>
      <c r="AU133" s="73"/>
      <c r="AV133" s="73"/>
      <c r="AW133" s="73"/>
      <c r="AX133" s="73"/>
      <c r="AY133" s="73"/>
      <c r="AZ133" s="73"/>
      <c r="BA133" s="73"/>
      <c r="BB133" s="81"/>
      <c r="BC133" s="80"/>
      <c r="BD133" s="73"/>
      <c r="BE133" s="73"/>
      <c r="BF133" s="73"/>
      <c r="BG133" s="73"/>
      <c r="BH133" s="73"/>
      <c r="BI133" s="73"/>
      <c r="BJ133" s="73"/>
      <c r="BK133" s="73"/>
      <c r="BL133" s="73"/>
      <c r="BM133" s="73"/>
      <c r="BN133" s="73"/>
      <c r="BO133" s="81"/>
    </row>
    <row r="134" spans="1:67" x14ac:dyDescent="0.3">
      <c r="A134" s="89" t="s">
        <v>237</v>
      </c>
      <c r="B134" s="89" t="s">
        <v>310</v>
      </c>
      <c r="C134" s="80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81"/>
      <c r="P134" s="80"/>
      <c r="Q134" s="73"/>
      <c r="R134" s="73"/>
      <c r="S134" s="73"/>
      <c r="T134" s="73"/>
      <c r="U134" s="73"/>
      <c r="V134" s="73"/>
      <c r="W134" s="73"/>
      <c r="X134" s="73"/>
      <c r="Y134" s="73"/>
      <c r="Z134" s="73"/>
      <c r="AA134" s="73"/>
      <c r="AB134" s="81"/>
      <c r="AC134" s="80"/>
      <c r="AD134" s="73"/>
      <c r="AE134" s="73"/>
      <c r="AF134" s="73"/>
      <c r="AG134" s="73"/>
      <c r="AH134" s="73"/>
      <c r="AI134" s="73"/>
      <c r="AJ134" s="73"/>
      <c r="AK134" s="73"/>
      <c r="AL134" s="73"/>
      <c r="AM134" s="73"/>
      <c r="AN134" s="73"/>
      <c r="AO134" s="81"/>
      <c r="AP134" s="80"/>
      <c r="AQ134" s="73"/>
      <c r="AR134" s="73"/>
      <c r="AS134" s="73"/>
      <c r="AT134" s="73"/>
      <c r="AU134" s="73"/>
      <c r="AV134" s="73"/>
      <c r="AW134" s="73"/>
      <c r="AX134" s="73"/>
      <c r="AY134" s="73"/>
      <c r="AZ134" s="73"/>
      <c r="BA134" s="73"/>
      <c r="BB134" s="81"/>
      <c r="BC134" s="80"/>
      <c r="BD134" s="73"/>
      <c r="BE134" s="73"/>
      <c r="BF134" s="73"/>
      <c r="BG134" s="73"/>
      <c r="BH134" s="73"/>
      <c r="BI134" s="73"/>
      <c r="BJ134" s="73"/>
      <c r="BK134" s="73"/>
      <c r="BL134" s="73"/>
      <c r="BM134" s="73"/>
      <c r="BN134" s="73"/>
      <c r="BO134" s="81"/>
    </row>
    <row r="135" spans="1:67" x14ac:dyDescent="0.3">
      <c r="A135" s="89" t="s">
        <v>237</v>
      </c>
      <c r="B135" s="89" t="s">
        <v>312</v>
      </c>
      <c r="C135" s="80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81"/>
      <c r="P135" s="80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81"/>
      <c r="AC135" s="80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81"/>
      <c r="AP135" s="80"/>
      <c r="AQ135" s="73"/>
      <c r="AR135" s="73"/>
      <c r="AS135" s="73"/>
      <c r="AT135" s="73"/>
      <c r="AU135" s="73"/>
      <c r="AV135" s="73"/>
      <c r="AW135" s="73"/>
      <c r="AX135" s="73"/>
      <c r="AY135" s="73"/>
      <c r="AZ135" s="73"/>
      <c r="BA135" s="73"/>
      <c r="BB135" s="81"/>
      <c r="BC135" s="80"/>
      <c r="BD135" s="73"/>
      <c r="BE135" s="73"/>
      <c r="BF135" s="73"/>
      <c r="BG135" s="73"/>
      <c r="BH135" s="73"/>
      <c r="BI135" s="73"/>
      <c r="BJ135" s="73"/>
      <c r="BK135" s="73"/>
      <c r="BL135" s="73"/>
      <c r="BM135" s="73"/>
      <c r="BN135" s="73"/>
      <c r="BO135" s="81"/>
    </row>
    <row r="136" spans="1:67" x14ac:dyDescent="0.3">
      <c r="A136" s="89" t="s">
        <v>237</v>
      </c>
      <c r="B136" s="89" t="s">
        <v>314</v>
      </c>
      <c r="C136" s="80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81"/>
      <c r="P136" s="80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81"/>
      <c r="AC136" s="80"/>
      <c r="AD136" s="73"/>
      <c r="AE136" s="73"/>
      <c r="AF136" s="73"/>
      <c r="AG136" s="73"/>
      <c r="AH136" s="73"/>
      <c r="AI136" s="73"/>
      <c r="AJ136" s="73"/>
      <c r="AK136" s="73"/>
      <c r="AL136" s="73"/>
      <c r="AM136" s="73"/>
      <c r="AN136" s="73"/>
      <c r="AO136" s="81"/>
      <c r="AP136" s="80"/>
      <c r="AQ136" s="73"/>
      <c r="AR136" s="73"/>
      <c r="AS136" s="73"/>
      <c r="AT136" s="73"/>
      <c r="AU136" s="73"/>
      <c r="AV136" s="73"/>
      <c r="AW136" s="73"/>
      <c r="AX136" s="73"/>
      <c r="AY136" s="73"/>
      <c r="AZ136" s="73"/>
      <c r="BA136" s="73"/>
      <c r="BB136" s="81"/>
      <c r="BC136" s="80"/>
      <c r="BD136" s="73"/>
      <c r="BE136" s="73"/>
      <c r="BF136" s="73"/>
      <c r="BG136" s="73"/>
      <c r="BH136" s="73"/>
      <c r="BI136" s="73"/>
      <c r="BJ136" s="73"/>
      <c r="BK136" s="73"/>
      <c r="BL136" s="73"/>
      <c r="BM136" s="73"/>
      <c r="BN136" s="73"/>
      <c r="BO136" s="81"/>
    </row>
    <row r="137" spans="1:67" x14ac:dyDescent="0.3">
      <c r="A137" s="89" t="s">
        <v>237</v>
      </c>
      <c r="B137" s="89" t="s">
        <v>316</v>
      </c>
      <c r="C137" s="80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81"/>
      <c r="P137" s="80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81"/>
      <c r="AC137" s="80"/>
      <c r="AD137" s="73"/>
      <c r="AE137" s="73"/>
      <c r="AF137" s="73"/>
      <c r="AG137" s="73"/>
      <c r="AH137" s="73"/>
      <c r="AI137" s="73"/>
      <c r="AJ137" s="73"/>
      <c r="AK137" s="73"/>
      <c r="AL137" s="73"/>
      <c r="AM137" s="73"/>
      <c r="AN137" s="73"/>
      <c r="AO137" s="81"/>
      <c r="AP137" s="80"/>
      <c r="AQ137" s="73"/>
      <c r="AR137" s="73"/>
      <c r="AS137" s="73"/>
      <c r="AT137" s="73"/>
      <c r="AU137" s="73"/>
      <c r="AV137" s="73"/>
      <c r="AW137" s="73"/>
      <c r="AX137" s="73"/>
      <c r="AY137" s="73"/>
      <c r="AZ137" s="73"/>
      <c r="BA137" s="73"/>
      <c r="BB137" s="81"/>
      <c r="BC137" s="80"/>
      <c r="BD137" s="73"/>
      <c r="BE137" s="73"/>
      <c r="BF137" s="73"/>
      <c r="BG137" s="73"/>
      <c r="BH137" s="73"/>
      <c r="BI137" s="73"/>
      <c r="BJ137" s="73"/>
      <c r="BK137" s="73"/>
      <c r="BL137" s="73"/>
      <c r="BM137" s="73"/>
      <c r="BN137" s="73"/>
      <c r="BO137" s="81"/>
    </row>
    <row r="138" spans="1:67" x14ac:dyDescent="0.3">
      <c r="A138" s="89" t="s">
        <v>237</v>
      </c>
      <c r="B138" s="89" t="s">
        <v>318</v>
      </c>
      <c r="C138" s="80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81"/>
      <c r="P138" s="80"/>
      <c r="Q138" s="73"/>
      <c r="R138" s="73"/>
      <c r="S138" s="73"/>
      <c r="T138" s="73"/>
      <c r="U138" s="73"/>
      <c r="V138" s="73"/>
      <c r="W138" s="73"/>
      <c r="X138" s="73"/>
      <c r="Y138" s="73"/>
      <c r="Z138" s="73"/>
      <c r="AA138" s="73"/>
      <c r="AB138" s="81"/>
      <c r="AC138" s="80"/>
      <c r="AD138" s="73"/>
      <c r="AE138" s="73"/>
      <c r="AF138" s="73"/>
      <c r="AG138" s="73"/>
      <c r="AH138" s="73"/>
      <c r="AI138" s="73"/>
      <c r="AJ138" s="73"/>
      <c r="AK138" s="73"/>
      <c r="AL138" s="73"/>
      <c r="AM138" s="73"/>
      <c r="AN138" s="73"/>
      <c r="AO138" s="81"/>
      <c r="AP138" s="80"/>
      <c r="AQ138" s="73"/>
      <c r="AR138" s="73"/>
      <c r="AS138" s="73"/>
      <c r="AT138" s="73"/>
      <c r="AU138" s="73"/>
      <c r="AV138" s="73"/>
      <c r="AW138" s="73"/>
      <c r="AX138" s="73"/>
      <c r="AY138" s="73"/>
      <c r="AZ138" s="73"/>
      <c r="BA138" s="73"/>
      <c r="BB138" s="81"/>
      <c r="BC138" s="80"/>
      <c r="BD138" s="73"/>
      <c r="BE138" s="73"/>
      <c r="BF138" s="73"/>
      <c r="BG138" s="73"/>
      <c r="BH138" s="73"/>
      <c r="BI138" s="73"/>
      <c r="BJ138" s="73"/>
      <c r="BK138" s="73"/>
      <c r="BL138" s="73"/>
      <c r="BM138" s="73"/>
      <c r="BN138" s="73"/>
      <c r="BO138" s="81"/>
    </row>
    <row r="139" spans="1:67" x14ac:dyDescent="0.3">
      <c r="A139" s="89" t="s">
        <v>237</v>
      </c>
      <c r="B139" s="89" t="s">
        <v>320</v>
      </c>
      <c r="C139" s="80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81"/>
      <c r="P139" s="80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81"/>
      <c r="AC139" s="80"/>
      <c r="AD139" s="73"/>
      <c r="AE139" s="73"/>
      <c r="AF139" s="73"/>
      <c r="AG139" s="73"/>
      <c r="AH139" s="73"/>
      <c r="AI139" s="73"/>
      <c r="AJ139" s="73"/>
      <c r="AK139" s="73"/>
      <c r="AL139" s="73"/>
      <c r="AM139" s="73"/>
      <c r="AN139" s="73"/>
      <c r="AO139" s="81"/>
      <c r="AP139" s="80"/>
      <c r="AQ139" s="73"/>
      <c r="AR139" s="73"/>
      <c r="AS139" s="73"/>
      <c r="AT139" s="73"/>
      <c r="AU139" s="73"/>
      <c r="AV139" s="73"/>
      <c r="AW139" s="73"/>
      <c r="AX139" s="73"/>
      <c r="AY139" s="73"/>
      <c r="AZ139" s="73"/>
      <c r="BA139" s="73"/>
      <c r="BB139" s="81"/>
      <c r="BC139" s="80"/>
      <c r="BD139" s="73"/>
      <c r="BE139" s="73"/>
      <c r="BF139" s="73"/>
      <c r="BG139" s="73"/>
      <c r="BH139" s="73"/>
      <c r="BI139" s="73"/>
      <c r="BJ139" s="73"/>
      <c r="BK139" s="73"/>
      <c r="BL139" s="73"/>
      <c r="BM139" s="73"/>
      <c r="BN139" s="73"/>
      <c r="BO139" s="81"/>
    </row>
    <row r="140" spans="1:67" x14ac:dyDescent="0.3">
      <c r="A140" s="89" t="s">
        <v>237</v>
      </c>
      <c r="B140" s="89" t="s">
        <v>322</v>
      </c>
      <c r="C140" s="80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81"/>
      <c r="P140" s="80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81"/>
      <c r="AC140" s="80"/>
      <c r="AD140" s="73"/>
      <c r="AE140" s="73"/>
      <c r="AF140" s="73"/>
      <c r="AG140" s="73"/>
      <c r="AH140" s="73"/>
      <c r="AI140" s="73"/>
      <c r="AJ140" s="73"/>
      <c r="AK140" s="73"/>
      <c r="AL140" s="73"/>
      <c r="AM140" s="73"/>
      <c r="AN140" s="73"/>
      <c r="AO140" s="81"/>
      <c r="AP140" s="80"/>
      <c r="AQ140" s="73"/>
      <c r="AR140" s="73"/>
      <c r="AS140" s="73"/>
      <c r="AT140" s="73"/>
      <c r="AU140" s="73"/>
      <c r="AV140" s="73"/>
      <c r="AW140" s="73"/>
      <c r="AX140" s="73"/>
      <c r="AY140" s="73"/>
      <c r="AZ140" s="73"/>
      <c r="BA140" s="73"/>
      <c r="BB140" s="81"/>
      <c r="BC140" s="80"/>
      <c r="BD140" s="73"/>
      <c r="BE140" s="73"/>
      <c r="BF140" s="73"/>
      <c r="BG140" s="73"/>
      <c r="BH140" s="73"/>
      <c r="BI140" s="73"/>
      <c r="BJ140" s="73"/>
      <c r="BK140" s="73"/>
      <c r="BL140" s="73"/>
      <c r="BM140" s="73"/>
      <c r="BN140" s="73"/>
      <c r="BO140" s="81"/>
    </row>
    <row r="141" spans="1:67" x14ac:dyDescent="0.3">
      <c r="A141" s="89" t="s">
        <v>237</v>
      </c>
      <c r="B141" s="89" t="s">
        <v>324</v>
      </c>
      <c r="C141" s="80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81"/>
      <c r="P141" s="80"/>
      <c r="Q141" s="73"/>
      <c r="R141" s="73"/>
      <c r="S141" s="73"/>
      <c r="T141" s="73"/>
      <c r="U141" s="73"/>
      <c r="V141" s="73"/>
      <c r="W141" s="73"/>
      <c r="X141" s="73"/>
      <c r="Y141" s="73"/>
      <c r="Z141" s="73"/>
      <c r="AA141" s="73"/>
      <c r="AB141" s="81"/>
      <c r="AC141" s="80"/>
      <c r="AD141" s="73"/>
      <c r="AE141" s="73"/>
      <c r="AF141" s="73"/>
      <c r="AG141" s="73"/>
      <c r="AH141" s="73"/>
      <c r="AI141" s="73"/>
      <c r="AJ141" s="73"/>
      <c r="AK141" s="73"/>
      <c r="AL141" s="73"/>
      <c r="AM141" s="73"/>
      <c r="AN141" s="73"/>
      <c r="AO141" s="81"/>
      <c r="AP141" s="80"/>
      <c r="AQ141" s="73"/>
      <c r="AR141" s="73"/>
      <c r="AS141" s="73"/>
      <c r="AT141" s="73"/>
      <c r="AU141" s="73"/>
      <c r="AV141" s="73"/>
      <c r="AW141" s="73"/>
      <c r="AX141" s="73"/>
      <c r="AY141" s="73"/>
      <c r="AZ141" s="73"/>
      <c r="BA141" s="73"/>
      <c r="BB141" s="81"/>
      <c r="BC141" s="80"/>
      <c r="BD141" s="73"/>
      <c r="BE141" s="73"/>
      <c r="BF141" s="73"/>
      <c r="BG141" s="73"/>
      <c r="BH141" s="73"/>
      <c r="BI141" s="73"/>
      <c r="BJ141" s="73"/>
      <c r="BK141" s="73"/>
      <c r="BL141" s="73"/>
      <c r="BM141" s="73"/>
      <c r="BN141" s="73"/>
      <c r="BO141" s="81"/>
    </row>
    <row r="142" spans="1:67" x14ac:dyDescent="0.3">
      <c r="A142" s="89" t="s">
        <v>237</v>
      </c>
      <c r="B142" s="89" t="s">
        <v>326</v>
      </c>
      <c r="C142" s="80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81"/>
      <c r="P142" s="80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81"/>
      <c r="AC142" s="80"/>
      <c r="AD142" s="73"/>
      <c r="AE142" s="73"/>
      <c r="AF142" s="73"/>
      <c r="AG142" s="73"/>
      <c r="AH142" s="73"/>
      <c r="AI142" s="73"/>
      <c r="AJ142" s="73"/>
      <c r="AK142" s="73"/>
      <c r="AL142" s="73"/>
      <c r="AM142" s="73"/>
      <c r="AN142" s="73"/>
      <c r="AO142" s="81"/>
      <c r="AP142" s="80"/>
      <c r="AQ142" s="73"/>
      <c r="AR142" s="73"/>
      <c r="AS142" s="73"/>
      <c r="AT142" s="73"/>
      <c r="AU142" s="73"/>
      <c r="AV142" s="73"/>
      <c r="AW142" s="73"/>
      <c r="AX142" s="73"/>
      <c r="AY142" s="73"/>
      <c r="AZ142" s="73"/>
      <c r="BA142" s="73"/>
      <c r="BB142" s="81"/>
      <c r="BC142" s="80"/>
      <c r="BD142" s="73"/>
      <c r="BE142" s="73"/>
      <c r="BF142" s="73"/>
      <c r="BG142" s="73"/>
      <c r="BH142" s="73"/>
      <c r="BI142" s="73"/>
      <c r="BJ142" s="73"/>
      <c r="BK142" s="73"/>
      <c r="BL142" s="73"/>
      <c r="BM142" s="73"/>
      <c r="BN142" s="73"/>
      <c r="BO142" s="81"/>
    </row>
    <row r="143" spans="1:67" x14ac:dyDescent="0.3">
      <c r="A143" s="89" t="s">
        <v>237</v>
      </c>
      <c r="B143" s="89" t="s">
        <v>328</v>
      </c>
      <c r="C143" s="80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81"/>
      <c r="P143" s="80"/>
      <c r="Q143" s="73"/>
      <c r="R143" s="73"/>
      <c r="S143" s="73"/>
      <c r="T143" s="73"/>
      <c r="U143" s="73"/>
      <c r="V143" s="73"/>
      <c r="W143" s="73"/>
      <c r="X143" s="73"/>
      <c r="Y143" s="73"/>
      <c r="Z143" s="73"/>
      <c r="AA143" s="73"/>
      <c r="AB143" s="81"/>
      <c r="AC143" s="80"/>
      <c r="AD143" s="73"/>
      <c r="AE143" s="73"/>
      <c r="AF143" s="73"/>
      <c r="AG143" s="73"/>
      <c r="AH143" s="73"/>
      <c r="AI143" s="73"/>
      <c r="AJ143" s="73"/>
      <c r="AK143" s="73"/>
      <c r="AL143" s="73"/>
      <c r="AM143" s="73"/>
      <c r="AN143" s="73"/>
      <c r="AO143" s="81"/>
      <c r="AP143" s="80"/>
      <c r="AQ143" s="73"/>
      <c r="AR143" s="73"/>
      <c r="AS143" s="73"/>
      <c r="AT143" s="73"/>
      <c r="AU143" s="73"/>
      <c r="AV143" s="73"/>
      <c r="AW143" s="73"/>
      <c r="AX143" s="73"/>
      <c r="AY143" s="73"/>
      <c r="AZ143" s="73"/>
      <c r="BA143" s="73"/>
      <c r="BB143" s="81"/>
      <c r="BC143" s="80"/>
      <c r="BD143" s="73"/>
      <c r="BE143" s="73"/>
      <c r="BF143" s="73"/>
      <c r="BG143" s="73"/>
      <c r="BH143" s="73"/>
      <c r="BI143" s="73"/>
      <c r="BJ143" s="73"/>
      <c r="BK143" s="73"/>
      <c r="BL143" s="73"/>
      <c r="BM143" s="73"/>
      <c r="BN143" s="73"/>
      <c r="BO143" s="81"/>
    </row>
    <row r="144" spans="1:67" x14ac:dyDescent="0.3">
      <c r="A144" s="89" t="s">
        <v>237</v>
      </c>
      <c r="B144" s="89" t="s">
        <v>330</v>
      </c>
      <c r="C144" s="80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81"/>
      <c r="P144" s="80"/>
      <c r="Q144" s="73"/>
      <c r="R144" s="73"/>
      <c r="S144" s="73"/>
      <c r="T144" s="73"/>
      <c r="U144" s="73"/>
      <c r="V144" s="73"/>
      <c r="W144" s="73"/>
      <c r="X144" s="73"/>
      <c r="Y144" s="73"/>
      <c r="Z144" s="73"/>
      <c r="AA144" s="73"/>
      <c r="AB144" s="81"/>
      <c r="AC144" s="80"/>
      <c r="AD144" s="73"/>
      <c r="AE144" s="73"/>
      <c r="AF144" s="73"/>
      <c r="AG144" s="73"/>
      <c r="AH144" s="73"/>
      <c r="AI144" s="73"/>
      <c r="AJ144" s="73"/>
      <c r="AK144" s="73"/>
      <c r="AL144" s="73"/>
      <c r="AM144" s="73"/>
      <c r="AN144" s="73"/>
      <c r="AO144" s="81"/>
      <c r="AP144" s="80"/>
      <c r="AQ144" s="73"/>
      <c r="AR144" s="73"/>
      <c r="AS144" s="73"/>
      <c r="AT144" s="73"/>
      <c r="AU144" s="73"/>
      <c r="AV144" s="73"/>
      <c r="AW144" s="73"/>
      <c r="AX144" s="73"/>
      <c r="AY144" s="73"/>
      <c r="AZ144" s="73"/>
      <c r="BA144" s="73"/>
      <c r="BB144" s="81"/>
      <c r="BC144" s="80"/>
      <c r="BD144" s="73"/>
      <c r="BE144" s="73"/>
      <c r="BF144" s="73"/>
      <c r="BG144" s="73"/>
      <c r="BH144" s="73"/>
      <c r="BI144" s="73"/>
      <c r="BJ144" s="73"/>
      <c r="BK144" s="73"/>
      <c r="BL144" s="73"/>
      <c r="BM144" s="73"/>
      <c r="BN144" s="73"/>
      <c r="BO144" s="81"/>
    </row>
    <row r="145" spans="1:67" x14ac:dyDescent="0.3">
      <c r="A145" s="89" t="s">
        <v>237</v>
      </c>
      <c r="B145" s="89" t="s">
        <v>332</v>
      </c>
      <c r="C145" s="80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81"/>
      <c r="P145" s="80"/>
      <c r="Q145" s="73"/>
      <c r="R145" s="73"/>
      <c r="S145" s="73"/>
      <c r="T145" s="73"/>
      <c r="U145" s="73"/>
      <c r="V145" s="73"/>
      <c r="W145" s="73"/>
      <c r="X145" s="73"/>
      <c r="Y145" s="73"/>
      <c r="Z145" s="73"/>
      <c r="AA145" s="73"/>
      <c r="AB145" s="81"/>
      <c r="AC145" s="80"/>
      <c r="AD145" s="73"/>
      <c r="AE145" s="73"/>
      <c r="AF145" s="73"/>
      <c r="AG145" s="73"/>
      <c r="AH145" s="73"/>
      <c r="AI145" s="73"/>
      <c r="AJ145" s="73"/>
      <c r="AK145" s="73"/>
      <c r="AL145" s="73"/>
      <c r="AM145" s="73"/>
      <c r="AN145" s="73"/>
      <c r="AO145" s="81"/>
      <c r="AP145" s="80"/>
      <c r="AQ145" s="73"/>
      <c r="AR145" s="73"/>
      <c r="AS145" s="73"/>
      <c r="AT145" s="73"/>
      <c r="AU145" s="73"/>
      <c r="AV145" s="73"/>
      <c r="AW145" s="73"/>
      <c r="AX145" s="73"/>
      <c r="AY145" s="73"/>
      <c r="AZ145" s="73"/>
      <c r="BA145" s="73"/>
      <c r="BB145" s="81"/>
      <c r="BC145" s="80"/>
      <c r="BD145" s="73"/>
      <c r="BE145" s="73"/>
      <c r="BF145" s="73"/>
      <c r="BG145" s="73"/>
      <c r="BH145" s="73"/>
      <c r="BI145" s="73"/>
      <c r="BJ145" s="73"/>
      <c r="BK145" s="73"/>
      <c r="BL145" s="73"/>
      <c r="BM145" s="73"/>
      <c r="BN145" s="73"/>
      <c r="BO145" s="81"/>
    </row>
    <row r="146" spans="1:67" x14ac:dyDescent="0.3">
      <c r="A146" s="89" t="s">
        <v>237</v>
      </c>
      <c r="B146" s="89" t="s">
        <v>334</v>
      </c>
      <c r="C146" s="80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81"/>
      <c r="P146" s="80"/>
      <c r="Q146" s="73"/>
      <c r="R146" s="73"/>
      <c r="S146" s="73"/>
      <c r="T146" s="73"/>
      <c r="U146" s="73"/>
      <c r="V146" s="73"/>
      <c r="W146" s="73"/>
      <c r="X146" s="73"/>
      <c r="Y146" s="73"/>
      <c r="Z146" s="73"/>
      <c r="AA146" s="73"/>
      <c r="AB146" s="81"/>
      <c r="AC146" s="80"/>
      <c r="AD146" s="73"/>
      <c r="AE146" s="73"/>
      <c r="AF146" s="73"/>
      <c r="AG146" s="73"/>
      <c r="AH146" s="73"/>
      <c r="AI146" s="73"/>
      <c r="AJ146" s="73"/>
      <c r="AK146" s="73"/>
      <c r="AL146" s="73"/>
      <c r="AM146" s="73"/>
      <c r="AN146" s="73"/>
      <c r="AO146" s="81"/>
      <c r="AP146" s="80"/>
      <c r="AQ146" s="73"/>
      <c r="AR146" s="73"/>
      <c r="AS146" s="73"/>
      <c r="AT146" s="73"/>
      <c r="AU146" s="73"/>
      <c r="AV146" s="73"/>
      <c r="AW146" s="73"/>
      <c r="AX146" s="73"/>
      <c r="AY146" s="73"/>
      <c r="AZ146" s="73"/>
      <c r="BA146" s="73"/>
      <c r="BB146" s="81"/>
      <c r="BC146" s="80"/>
      <c r="BD146" s="73"/>
      <c r="BE146" s="73"/>
      <c r="BF146" s="73"/>
      <c r="BG146" s="73"/>
      <c r="BH146" s="73"/>
      <c r="BI146" s="73"/>
      <c r="BJ146" s="73"/>
      <c r="BK146" s="73"/>
      <c r="BL146" s="73"/>
      <c r="BM146" s="73"/>
      <c r="BN146" s="73"/>
      <c r="BO146" s="81"/>
    </row>
    <row r="147" spans="1:67" x14ac:dyDescent="0.3">
      <c r="A147" s="89" t="s">
        <v>237</v>
      </c>
      <c r="B147" s="89" t="s">
        <v>336</v>
      </c>
      <c r="C147" s="80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81"/>
      <c r="P147" s="80"/>
      <c r="Q147" s="73"/>
      <c r="R147" s="73"/>
      <c r="S147" s="73"/>
      <c r="T147" s="73"/>
      <c r="U147" s="73"/>
      <c r="V147" s="73"/>
      <c r="W147" s="73"/>
      <c r="X147" s="73"/>
      <c r="Y147" s="73"/>
      <c r="Z147" s="73"/>
      <c r="AA147" s="73"/>
      <c r="AB147" s="81"/>
      <c r="AC147" s="80"/>
      <c r="AD147" s="73"/>
      <c r="AE147" s="73"/>
      <c r="AF147" s="73"/>
      <c r="AG147" s="73"/>
      <c r="AH147" s="73"/>
      <c r="AI147" s="73"/>
      <c r="AJ147" s="73"/>
      <c r="AK147" s="73"/>
      <c r="AL147" s="73"/>
      <c r="AM147" s="73"/>
      <c r="AN147" s="73"/>
      <c r="AO147" s="81"/>
      <c r="AP147" s="80"/>
      <c r="AQ147" s="73"/>
      <c r="AR147" s="73"/>
      <c r="AS147" s="73"/>
      <c r="AT147" s="73"/>
      <c r="AU147" s="73"/>
      <c r="AV147" s="73"/>
      <c r="AW147" s="73"/>
      <c r="AX147" s="73"/>
      <c r="AY147" s="73"/>
      <c r="AZ147" s="73"/>
      <c r="BA147" s="73"/>
      <c r="BB147" s="81"/>
      <c r="BC147" s="80"/>
      <c r="BD147" s="73"/>
      <c r="BE147" s="73"/>
      <c r="BF147" s="73"/>
      <c r="BG147" s="73"/>
      <c r="BH147" s="73"/>
      <c r="BI147" s="73"/>
      <c r="BJ147" s="73"/>
      <c r="BK147" s="73"/>
      <c r="BL147" s="73"/>
      <c r="BM147" s="73"/>
      <c r="BN147" s="73"/>
      <c r="BO147" s="81"/>
    </row>
    <row r="148" spans="1:67" x14ac:dyDescent="0.3">
      <c r="A148" s="89" t="s">
        <v>237</v>
      </c>
      <c r="B148" s="89" t="s">
        <v>338</v>
      </c>
      <c r="C148" s="80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81"/>
      <c r="P148" s="80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81"/>
      <c r="AC148" s="80"/>
      <c r="AD148" s="73"/>
      <c r="AE148" s="73"/>
      <c r="AF148" s="73"/>
      <c r="AG148" s="73"/>
      <c r="AH148" s="73"/>
      <c r="AI148" s="73"/>
      <c r="AJ148" s="73"/>
      <c r="AK148" s="73"/>
      <c r="AL148" s="73"/>
      <c r="AM148" s="73"/>
      <c r="AN148" s="73"/>
      <c r="AO148" s="81"/>
      <c r="AP148" s="80"/>
      <c r="AQ148" s="73"/>
      <c r="AR148" s="73"/>
      <c r="AS148" s="73"/>
      <c r="AT148" s="73"/>
      <c r="AU148" s="73"/>
      <c r="AV148" s="73"/>
      <c r="AW148" s="73"/>
      <c r="AX148" s="73"/>
      <c r="AY148" s="73"/>
      <c r="AZ148" s="73"/>
      <c r="BA148" s="73"/>
      <c r="BB148" s="81"/>
      <c r="BC148" s="80"/>
      <c r="BD148" s="73"/>
      <c r="BE148" s="73"/>
      <c r="BF148" s="73"/>
      <c r="BG148" s="73"/>
      <c r="BH148" s="73"/>
      <c r="BI148" s="73"/>
      <c r="BJ148" s="73"/>
      <c r="BK148" s="73"/>
      <c r="BL148" s="73"/>
      <c r="BM148" s="73"/>
      <c r="BN148" s="73"/>
      <c r="BO148" s="81"/>
    </row>
    <row r="149" spans="1:67" x14ac:dyDescent="0.3">
      <c r="A149" s="89" t="s">
        <v>237</v>
      </c>
      <c r="B149" s="89" t="s">
        <v>340</v>
      </c>
      <c r="C149" s="80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81"/>
      <c r="P149" s="80"/>
      <c r="Q149" s="73"/>
      <c r="R149" s="73"/>
      <c r="S149" s="73"/>
      <c r="T149" s="73"/>
      <c r="U149" s="73"/>
      <c r="V149" s="73"/>
      <c r="W149" s="73"/>
      <c r="X149" s="73"/>
      <c r="Y149" s="73"/>
      <c r="Z149" s="73"/>
      <c r="AA149" s="73"/>
      <c r="AB149" s="81"/>
      <c r="AC149" s="80"/>
      <c r="AD149" s="73"/>
      <c r="AE149" s="73"/>
      <c r="AF149" s="73"/>
      <c r="AG149" s="73"/>
      <c r="AH149" s="73"/>
      <c r="AI149" s="73"/>
      <c r="AJ149" s="73"/>
      <c r="AK149" s="73"/>
      <c r="AL149" s="73"/>
      <c r="AM149" s="73"/>
      <c r="AN149" s="73"/>
      <c r="AO149" s="81"/>
      <c r="AP149" s="80"/>
      <c r="AQ149" s="73"/>
      <c r="AR149" s="73"/>
      <c r="AS149" s="73"/>
      <c r="AT149" s="73"/>
      <c r="AU149" s="73"/>
      <c r="AV149" s="73"/>
      <c r="AW149" s="73"/>
      <c r="AX149" s="73"/>
      <c r="AY149" s="73"/>
      <c r="AZ149" s="73"/>
      <c r="BA149" s="73"/>
      <c r="BB149" s="81"/>
      <c r="BC149" s="80"/>
      <c r="BD149" s="73"/>
      <c r="BE149" s="73"/>
      <c r="BF149" s="73"/>
      <c r="BG149" s="73"/>
      <c r="BH149" s="73"/>
      <c r="BI149" s="73"/>
      <c r="BJ149" s="73"/>
      <c r="BK149" s="73"/>
      <c r="BL149" s="73"/>
      <c r="BM149" s="73"/>
      <c r="BN149" s="73"/>
      <c r="BO149" s="81"/>
    </row>
    <row r="150" spans="1:67" x14ac:dyDescent="0.3">
      <c r="A150" s="89" t="s">
        <v>237</v>
      </c>
      <c r="B150" s="89" t="s">
        <v>342</v>
      </c>
      <c r="C150" s="80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81"/>
      <c r="P150" s="80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81"/>
      <c r="AC150" s="80"/>
      <c r="AD150" s="73"/>
      <c r="AE150" s="73"/>
      <c r="AF150" s="73"/>
      <c r="AG150" s="73"/>
      <c r="AH150" s="73"/>
      <c r="AI150" s="73"/>
      <c r="AJ150" s="73"/>
      <c r="AK150" s="73"/>
      <c r="AL150" s="73"/>
      <c r="AM150" s="73"/>
      <c r="AN150" s="73"/>
      <c r="AO150" s="81"/>
      <c r="AP150" s="80"/>
      <c r="AQ150" s="73"/>
      <c r="AR150" s="73"/>
      <c r="AS150" s="73"/>
      <c r="AT150" s="73"/>
      <c r="AU150" s="73"/>
      <c r="AV150" s="73"/>
      <c r="AW150" s="73"/>
      <c r="AX150" s="73"/>
      <c r="AY150" s="73"/>
      <c r="AZ150" s="73"/>
      <c r="BA150" s="73"/>
      <c r="BB150" s="81"/>
      <c r="BC150" s="80"/>
      <c r="BD150" s="73"/>
      <c r="BE150" s="73"/>
      <c r="BF150" s="73"/>
      <c r="BG150" s="73"/>
      <c r="BH150" s="73"/>
      <c r="BI150" s="73"/>
      <c r="BJ150" s="73"/>
      <c r="BK150" s="73"/>
      <c r="BL150" s="73"/>
      <c r="BM150" s="73"/>
      <c r="BN150" s="73"/>
      <c r="BO150" s="81"/>
    </row>
    <row r="151" spans="1:67" x14ac:dyDescent="0.3">
      <c r="A151" s="89" t="s">
        <v>237</v>
      </c>
      <c r="B151" s="89" t="s">
        <v>344</v>
      </c>
      <c r="C151" s="80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81"/>
      <c r="P151" s="80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81"/>
      <c r="AC151" s="80"/>
      <c r="AD151" s="73"/>
      <c r="AE151" s="73"/>
      <c r="AF151" s="73"/>
      <c r="AG151" s="73"/>
      <c r="AH151" s="73"/>
      <c r="AI151" s="73"/>
      <c r="AJ151" s="73"/>
      <c r="AK151" s="73"/>
      <c r="AL151" s="73"/>
      <c r="AM151" s="73"/>
      <c r="AN151" s="73"/>
      <c r="AO151" s="81"/>
      <c r="AP151" s="80"/>
      <c r="AQ151" s="73"/>
      <c r="AR151" s="73"/>
      <c r="AS151" s="73"/>
      <c r="AT151" s="73"/>
      <c r="AU151" s="73"/>
      <c r="AV151" s="73"/>
      <c r="AW151" s="73"/>
      <c r="AX151" s="73"/>
      <c r="AY151" s="73"/>
      <c r="AZ151" s="73"/>
      <c r="BA151" s="73"/>
      <c r="BB151" s="81"/>
      <c r="BC151" s="80"/>
      <c r="BD151" s="73"/>
      <c r="BE151" s="73"/>
      <c r="BF151" s="73"/>
      <c r="BG151" s="73"/>
      <c r="BH151" s="73"/>
      <c r="BI151" s="73"/>
      <c r="BJ151" s="73"/>
      <c r="BK151" s="73"/>
      <c r="BL151" s="73"/>
      <c r="BM151" s="73"/>
      <c r="BN151" s="73"/>
      <c r="BO151" s="81"/>
    </row>
    <row r="152" spans="1:67" x14ac:dyDescent="0.3">
      <c r="A152" s="89" t="s">
        <v>237</v>
      </c>
      <c r="B152" s="89" t="s">
        <v>346</v>
      </c>
      <c r="C152" s="80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81"/>
      <c r="P152" s="80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81"/>
      <c r="AC152" s="80"/>
      <c r="AD152" s="73"/>
      <c r="AE152" s="73"/>
      <c r="AF152" s="73"/>
      <c r="AG152" s="73"/>
      <c r="AH152" s="73"/>
      <c r="AI152" s="73"/>
      <c r="AJ152" s="73"/>
      <c r="AK152" s="73"/>
      <c r="AL152" s="73"/>
      <c r="AM152" s="73"/>
      <c r="AN152" s="73"/>
      <c r="AO152" s="81"/>
      <c r="AP152" s="80"/>
      <c r="AQ152" s="73"/>
      <c r="AR152" s="73"/>
      <c r="AS152" s="73"/>
      <c r="AT152" s="73"/>
      <c r="AU152" s="73"/>
      <c r="AV152" s="73"/>
      <c r="AW152" s="73"/>
      <c r="AX152" s="73"/>
      <c r="AY152" s="73"/>
      <c r="AZ152" s="73"/>
      <c r="BA152" s="73"/>
      <c r="BB152" s="81"/>
      <c r="BC152" s="80"/>
      <c r="BD152" s="73"/>
      <c r="BE152" s="73"/>
      <c r="BF152" s="73"/>
      <c r="BG152" s="73"/>
      <c r="BH152" s="73"/>
      <c r="BI152" s="73"/>
      <c r="BJ152" s="73"/>
      <c r="BK152" s="73"/>
      <c r="BL152" s="73"/>
      <c r="BM152" s="73"/>
      <c r="BN152" s="73"/>
      <c r="BO152" s="81"/>
    </row>
    <row r="153" spans="1:67" x14ac:dyDescent="0.3">
      <c r="A153" s="89" t="s">
        <v>237</v>
      </c>
      <c r="B153" s="89" t="s">
        <v>348</v>
      </c>
      <c r="C153" s="80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81"/>
      <c r="P153" s="80"/>
      <c r="Q153" s="73"/>
      <c r="R153" s="73"/>
      <c r="S153" s="73"/>
      <c r="T153" s="73"/>
      <c r="U153" s="73"/>
      <c r="V153" s="73"/>
      <c r="W153" s="73"/>
      <c r="X153" s="73"/>
      <c r="Y153" s="73"/>
      <c r="Z153" s="73"/>
      <c r="AA153" s="73"/>
      <c r="AB153" s="81"/>
      <c r="AC153" s="80"/>
      <c r="AD153" s="73"/>
      <c r="AE153" s="73"/>
      <c r="AF153" s="73"/>
      <c r="AG153" s="73"/>
      <c r="AH153" s="73"/>
      <c r="AI153" s="73"/>
      <c r="AJ153" s="73"/>
      <c r="AK153" s="73"/>
      <c r="AL153" s="73"/>
      <c r="AM153" s="73"/>
      <c r="AN153" s="73"/>
      <c r="AO153" s="81"/>
      <c r="AP153" s="80"/>
      <c r="AQ153" s="73"/>
      <c r="AR153" s="73"/>
      <c r="AS153" s="73"/>
      <c r="AT153" s="73"/>
      <c r="AU153" s="73"/>
      <c r="AV153" s="73"/>
      <c r="AW153" s="73"/>
      <c r="AX153" s="73"/>
      <c r="AY153" s="73"/>
      <c r="AZ153" s="73"/>
      <c r="BA153" s="73"/>
      <c r="BB153" s="81"/>
      <c r="BC153" s="80"/>
      <c r="BD153" s="73"/>
      <c r="BE153" s="73"/>
      <c r="BF153" s="73"/>
      <c r="BG153" s="73"/>
      <c r="BH153" s="73"/>
      <c r="BI153" s="73"/>
      <c r="BJ153" s="73"/>
      <c r="BK153" s="73"/>
      <c r="BL153" s="73"/>
      <c r="BM153" s="73"/>
      <c r="BN153" s="73"/>
      <c r="BO153" s="81"/>
    </row>
    <row r="154" spans="1:67" x14ac:dyDescent="0.3">
      <c r="A154" s="89" t="s">
        <v>237</v>
      </c>
      <c r="B154" s="89" t="s">
        <v>350</v>
      </c>
      <c r="C154" s="80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81"/>
      <c r="P154" s="80"/>
      <c r="Q154" s="73"/>
      <c r="R154" s="73"/>
      <c r="S154" s="73"/>
      <c r="T154" s="73"/>
      <c r="U154" s="73"/>
      <c r="V154" s="73"/>
      <c r="W154" s="73"/>
      <c r="X154" s="73"/>
      <c r="Y154" s="73"/>
      <c r="Z154" s="73"/>
      <c r="AA154" s="73"/>
      <c r="AB154" s="81"/>
      <c r="AC154" s="80"/>
      <c r="AD154" s="73"/>
      <c r="AE154" s="73"/>
      <c r="AF154" s="73"/>
      <c r="AG154" s="73"/>
      <c r="AH154" s="73"/>
      <c r="AI154" s="73"/>
      <c r="AJ154" s="73"/>
      <c r="AK154" s="73"/>
      <c r="AL154" s="73"/>
      <c r="AM154" s="73"/>
      <c r="AN154" s="73"/>
      <c r="AO154" s="81"/>
      <c r="AP154" s="80"/>
      <c r="AQ154" s="73"/>
      <c r="AR154" s="73"/>
      <c r="AS154" s="73"/>
      <c r="AT154" s="73"/>
      <c r="AU154" s="73"/>
      <c r="AV154" s="73"/>
      <c r="AW154" s="73"/>
      <c r="AX154" s="73"/>
      <c r="AY154" s="73"/>
      <c r="AZ154" s="73"/>
      <c r="BA154" s="73"/>
      <c r="BB154" s="81"/>
      <c r="BC154" s="80"/>
      <c r="BD154" s="73"/>
      <c r="BE154" s="73"/>
      <c r="BF154" s="73"/>
      <c r="BG154" s="73"/>
      <c r="BH154" s="73"/>
      <c r="BI154" s="73"/>
      <c r="BJ154" s="73"/>
      <c r="BK154" s="73"/>
      <c r="BL154" s="73"/>
      <c r="BM154" s="73"/>
      <c r="BN154" s="73"/>
      <c r="BO154" s="81"/>
    </row>
    <row r="155" spans="1:67" x14ac:dyDescent="0.3">
      <c r="A155" s="89" t="s">
        <v>237</v>
      </c>
      <c r="B155" s="89" t="s">
        <v>352</v>
      </c>
      <c r="C155" s="80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81"/>
      <c r="P155" s="80"/>
      <c r="Q155" s="73"/>
      <c r="R155" s="73"/>
      <c r="S155" s="73"/>
      <c r="T155" s="73"/>
      <c r="U155" s="73"/>
      <c r="V155" s="73"/>
      <c r="W155" s="73"/>
      <c r="X155" s="73"/>
      <c r="Y155" s="73"/>
      <c r="Z155" s="73"/>
      <c r="AA155" s="73"/>
      <c r="AB155" s="81"/>
      <c r="AC155" s="80"/>
      <c r="AD155" s="73"/>
      <c r="AE155" s="73"/>
      <c r="AF155" s="73"/>
      <c r="AG155" s="73"/>
      <c r="AH155" s="73"/>
      <c r="AI155" s="73"/>
      <c r="AJ155" s="73"/>
      <c r="AK155" s="73"/>
      <c r="AL155" s="73"/>
      <c r="AM155" s="73"/>
      <c r="AN155" s="73"/>
      <c r="AO155" s="81"/>
      <c r="AP155" s="80"/>
      <c r="AQ155" s="73"/>
      <c r="AR155" s="73"/>
      <c r="AS155" s="73"/>
      <c r="AT155" s="73"/>
      <c r="AU155" s="73"/>
      <c r="AV155" s="73"/>
      <c r="AW155" s="73"/>
      <c r="AX155" s="73"/>
      <c r="AY155" s="73"/>
      <c r="AZ155" s="73"/>
      <c r="BA155" s="73"/>
      <c r="BB155" s="81"/>
      <c r="BC155" s="80"/>
      <c r="BD155" s="73"/>
      <c r="BE155" s="73"/>
      <c r="BF155" s="73"/>
      <c r="BG155" s="73"/>
      <c r="BH155" s="73"/>
      <c r="BI155" s="73"/>
      <c r="BJ155" s="73"/>
      <c r="BK155" s="73"/>
      <c r="BL155" s="73"/>
      <c r="BM155" s="73"/>
      <c r="BN155" s="73"/>
      <c r="BO155" s="81"/>
    </row>
    <row r="156" spans="1:67" x14ac:dyDescent="0.3">
      <c r="A156" s="89" t="s">
        <v>237</v>
      </c>
      <c r="B156" s="89" t="s">
        <v>354</v>
      </c>
      <c r="C156" s="80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81"/>
      <c r="P156" s="80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81"/>
      <c r="AC156" s="80"/>
      <c r="AD156" s="73"/>
      <c r="AE156" s="73"/>
      <c r="AF156" s="73"/>
      <c r="AG156" s="73"/>
      <c r="AH156" s="73"/>
      <c r="AI156" s="73"/>
      <c r="AJ156" s="73"/>
      <c r="AK156" s="73"/>
      <c r="AL156" s="73"/>
      <c r="AM156" s="73"/>
      <c r="AN156" s="73"/>
      <c r="AO156" s="81"/>
      <c r="AP156" s="80"/>
      <c r="AQ156" s="73"/>
      <c r="AR156" s="73"/>
      <c r="AS156" s="73"/>
      <c r="AT156" s="73"/>
      <c r="AU156" s="73"/>
      <c r="AV156" s="73"/>
      <c r="AW156" s="73"/>
      <c r="AX156" s="73"/>
      <c r="AY156" s="73"/>
      <c r="AZ156" s="73"/>
      <c r="BA156" s="73"/>
      <c r="BB156" s="81"/>
      <c r="BC156" s="80"/>
      <c r="BD156" s="73"/>
      <c r="BE156" s="73"/>
      <c r="BF156" s="73"/>
      <c r="BG156" s="73"/>
      <c r="BH156" s="73"/>
      <c r="BI156" s="73"/>
      <c r="BJ156" s="73"/>
      <c r="BK156" s="73"/>
      <c r="BL156" s="73"/>
      <c r="BM156" s="73"/>
      <c r="BN156" s="73"/>
      <c r="BO156" s="81"/>
    </row>
    <row r="157" spans="1:67" x14ac:dyDescent="0.3">
      <c r="A157" s="89" t="s">
        <v>237</v>
      </c>
      <c r="B157" s="89" t="s">
        <v>356</v>
      </c>
      <c r="C157" s="80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81"/>
      <c r="P157" s="80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81"/>
      <c r="AC157" s="80"/>
      <c r="AD157" s="73"/>
      <c r="AE157" s="73"/>
      <c r="AF157" s="73"/>
      <c r="AG157" s="73"/>
      <c r="AH157" s="73"/>
      <c r="AI157" s="73"/>
      <c r="AJ157" s="73"/>
      <c r="AK157" s="73"/>
      <c r="AL157" s="73"/>
      <c r="AM157" s="73"/>
      <c r="AN157" s="73"/>
      <c r="AO157" s="81"/>
      <c r="AP157" s="80"/>
      <c r="AQ157" s="73"/>
      <c r="AR157" s="73"/>
      <c r="AS157" s="73"/>
      <c r="AT157" s="73"/>
      <c r="AU157" s="73"/>
      <c r="AV157" s="73"/>
      <c r="AW157" s="73"/>
      <c r="AX157" s="73"/>
      <c r="AY157" s="73"/>
      <c r="AZ157" s="73"/>
      <c r="BA157" s="73"/>
      <c r="BB157" s="81"/>
      <c r="BC157" s="80"/>
      <c r="BD157" s="73"/>
      <c r="BE157" s="73"/>
      <c r="BF157" s="73"/>
      <c r="BG157" s="73"/>
      <c r="BH157" s="73"/>
      <c r="BI157" s="73"/>
      <c r="BJ157" s="73"/>
      <c r="BK157" s="73"/>
      <c r="BL157" s="73"/>
      <c r="BM157" s="73"/>
      <c r="BN157" s="73"/>
      <c r="BO157" s="81"/>
    </row>
    <row r="158" spans="1:67" x14ac:dyDescent="0.3">
      <c r="A158" s="89" t="s">
        <v>237</v>
      </c>
      <c r="B158" s="89" t="s">
        <v>358</v>
      </c>
      <c r="C158" s="80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81"/>
      <c r="P158" s="80"/>
      <c r="Q158" s="73"/>
      <c r="R158" s="73"/>
      <c r="S158" s="73"/>
      <c r="T158" s="73"/>
      <c r="U158" s="73"/>
      <c r="V158" s="73"/>
      <c r="W158" s="73"/>
      <c r="X158" s="73"/>
      <c r="Y158" s="73"/>
      <c r="Z158" s="73"/>
      <c r="AA158" s="73"/>
      <c r="AB158" s="81"/>
      <c r="AC158" s="80"/>
      <c r="AD158" s="73"/>
      <c r="AE158" s="73"/>
      <c r="AF158" s="73"/>
      <c r="AG158" s="73"/>
      <c r="AH158" s="73"/>
      <c r="AI158" s="73"/>
      <c r="AJ158" s="73"/>
      <c r="AK158" s="73"/>
      <c r="AL158" s="73"/>
      <c r="AM158" s="73"/>
      <c r="AN158" s="73"/>
      <c r="AO158" s="81"/>
      <c r="AP158" s="80"/>
      <c r="AQ158" s="73"/>
      <c r="AR158" s="73"/>
      <c r="AS158" s="73"/>
      <c r="AT158" s="73"/>
      <c r="AU158" s="73"/>
      <c r="AV158" s="73"/>
      <c r="AW158" s="73"/>
      <c r="AX158" s="73"/>
      <c r="AY158" s="73"/>
      <c r="AZ158" s="73"/>
      <c r="BA158" s="73"/>
      <c r="BB158" s="81"/>
      <c r="BC158" s="80"/>
      <c r="BD158" s="73"/>
      <c r="BE158" s="73"/>
      <c r="BF158" s="73"/>
      <c r="BG158" s="73"/>
      <c r="BH158" s="73"/>
      <c r="BI158" s="73"/>
      <c r="BJ158" s="73"/>
      <c r="BK158" s="73"/>
      <c r="BL158" s="73"/>
      <c r="BM158" s="73"/>
      <c r="BN158" s="73"/>
      <c r="BO158" s="81"/>
    </row>
    <row r="159" spans="1:67" x14ac:dyDescent="0.3">
      <c r="A159" s="89" t="s">
        <v>237</v>
      </c>
      <c r="B159" s="89" t="s">
        <v>360</v>
      </c>
      <c r="C159" s="80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81"/>
      <c r="P159" s="80"/>
      <c r="Q159" s="73"/>
      <c r="R159" s="73"/>
      <c r="S159" s="73"/>
      <c r="T159" s="73"/>
      <c r="U159" s="73"/>
      <c r="V159" s="73"/>
      <c r="W159" s="73"/>
      <c r="X159" s="73"/>
      <c r="Y159" s="73"/>
      <c r="Z159" s="73"/>
      <c r="AA159" s="73"/>
      <c r="AB159" s="81"/>
      <c r="AC159" s="80"/>
      <c r="AD159" s="73"/>
      <c r="AE159" s="73"/>
      <c r="AF159" s="73"/>
      <c r="AG159" s="73"/>
      <c r="AH159" s="73"/>
      <c r="AI159" s="73"/>
      <c r="AJ159" s="73"/>
      <c r="AK159" s="73"/>
      <c r="AL159" s="73"/>
      <c r="AM159" s="73"/>
      <c r="AN159" s="73"/>
      <c r="AO159" s="81"/>
      <c r="AP159" s="80"/>
      <c r="AQ159" s="73"/>
      <c r="AR159" s="73"/>
      <c r="AS159" s="73"/>
      <c r="AT159" s="73"/>
      <c r="AU159" s="73"/>
      <c r="AV159" s="73"/>
      <c r="AW159" s="73"/>
      <c r="AX159" s="73"/>
      <c r="AY159" s="73"/>
      <c r="AZ159" s="73"/>
      <c r="BA159" s="73"/>
      <c r="BB159" s="81"/>
      <c r="BC159" s="80"/>
      <c r="BD159" s="73"/>
      <c r="BE159" s="73"/>
      <c r="BF159" s="73"/>
      <c r="BG159" s="73"/>
      <c r="BH159" s="73"/>
      <c r="BI159" s="73"/>
      <c r="BJ159" s="73"/>
      <c r="BK159" s="73"/>
      <c r="BL159" s="73"/>
      <c r="BM159" s="73"/>
      <c r="BN159" s="73"/>
      <c r="BO159" s="81"/>
    </row>
    <row r="160" spans="1:67" x14ac:dyDescent="0.3">
      <c r="A160" s="89" t="s">
        <v>237</v>
      </c>
      <c r="B160" s="89" t="s">
        <v>362</v>
      </c>
      <c r="C160" s="80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81"/>
      <c r="P160" s="80"/>
      <c r="Q160" s="73"/>
      <c r="R160" s="73"/>
      <c r="S160" s="73"/>
      <c r="T160" s="73"/>
      <c r="U160" s="73"/>
      <c r="V160" s="73"/>
      <c r="W160" s="73"/>
      <c r="X160" s="73"/>
      <c r="Y160" s="73"/>
      <c r="Z160" s="73"/>
      <c r="AA160" s="73"/>
      <c r="AB160" s="81"/>
      <c r="AC160" s="80"/>
      <c r="AD160" s="73"/>
      <c r="AE160" s="73"/>
      <c r="AF160" s="73"/>
      <c r="AG160" s="73"/>
      <c r="AH160" s="73"/>
      <c r="AI160" s="73"/>
      <c r="AJ160" s="73"/>
      <c r="AK160" s="73"/>
      <c r="AL160" s="73"/>
      <c r="AM160" s="73"/>
      <c r="AN160" s="73"/>
      <c r="AO160" s="81"/>
      <c r="AP160" s="80"/>
      <c r="AQ160" s="73"/>
      <c r="AR160" s="73"/>
      <c r="AS160" s="73"/>
      <c r="AT160" s="73"/>
      <c r="AU160" s="73"/>
      <c r="AV160" s="73"/>
      <c r="AW160" s="73"/>
      <c r="AX160" s="73"/>
      <c r="AY160" s="73"/>
      <c r="AZ160" s="73"/>
      <c r="BA160" s="73"/>
      <c r="BB160" s="81"/>
      <c r="BC160" s="80"/>
      <c r="BD160" s="73"/>
      <c r="BE160" s="73"/>
      <c r="BF160" s="73"/>
      <c r="BG160" s="73"/>
      <c r="BH160" s="73"/>
      <c r="BI160" s="73"/>
      <c r="BJ160" s="73"/>
      <c r="BK160" s="73"/>
      <c r="BL160" s="73"/>
      <c r="BM160" s="73"/>
      <c r="BN160" s="73"/>
      <c r="BO160" s="81"/>
    </row>
    <row r="161" spans="1:67" x14ac:dyDescent="0.3">
      <c r="A161" s="89" t="s">
        <v>237</v>
      </c>
      <c r="B161" s="89" t="s">
        <v>364</v>
      </c>
      <c r="C161" s="80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81"/>
      <c r="P161" s="80"/>
      <c r="Q161" s="73"/>
      <c r="R161" s="73"/>
      <c r="S161" s="73"/>
      <c r="T161" s="73"/>
      <c r="U161" s="73"/>
      <c r="V161" s="73"/>
      <c r="W161" s="73"/>
      <c r="X161" s="73"/>
      <c r="Y161" s="73"/>
      <c r="Z161" s="73"/>
      <c r="AA161" s="73"/>
      <c r="AB161" s="81"/>
      <c r="AC161" s="80"/>
      <c r="AD161" s="73"/>
      <c r="AE161" s="73"/>
      <c r="AF161" s="73"/>
      <c r="AG161" s="73"/>
      <c r="AH161" s="73"/>
      <c r="AI161" s="73"/>
      <c r="AJ161" s="73"/>
      <c r="AK161" s="73"/>
      <c r="AL161" s="73"/>
      <c r="AM161" s="73"/>
      <c r="AN161" s="73"/>
      <c r="AO161" s="81"/>
      <c r="AP161" s="80"/>
      <c r="AQ161" s="73"/>
      <c r="AR161" s="73"/>
      <c r="AS161" s="73"/>
      <c r="AT161" s="73"/>
      <c r="AU161" s="73"/>
      <c r="AV161" s="73"/>
      <c r="AW161" s="73"/>
      <c r="AX161" s="73"/>
      <c r="AY161" s="73"/>
      <c r="AZ161" s="73"/>
      <c r="BA161" s="73"/>
      <c r="BB161" s="81"/>
      <c r="BC161" s="80"/>
      <c r="BD161" s="73"/>
      <c r="BE161" s="73"/>
      <c r="BF161" s="73"/>
      <c r="BG161" s="73"/>
      <c r="BH161" s="73"/>
      <c r="BI161" s="73"/>
      <c r="BJ161" s="73"/>
      <c r="BK161" s="73"/>
      <c r="BL161" s="73"/>
      <c r="BM161" s="73"/>
      <c r="BN161" s="73"/>
      <c r="BO161" s="81"/>
    </row>
    <row r="162" spans="1:67" x14ac:dyDescent="0.3">
      <c r="A162" s="89" t="s">
        <v>237</v>
      </c>
      <c r="B162" s="89" t="s">
        <v>366</v>
      </c>
      <c r="C162" s="80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81"/>
      <c r="P162" s="80"/>
      <c r="Q162" s="73"/>
      <c r="R162" s="73"/>
      <c r="S162" s="73"/>
      <c r="T162" s="73"/>
      <c r="U162" s="73"/>
      <c r="V162" s="73"/>
      <c r="W162" s="73"/>
      <c r="X162" s="73"/>
      <c r="Y162" s="73"/>
      <c r="Z162" s="73"/>
      <c r="AA162" s="73"/>
      <c r="AB162" s="81"/>
      <c r="AC162" s="80"/>
      <c r="AD162" s="73"/>
      <c r="AE162" s="73"/>
      <c r="AF162" s="73"/>
      <c r="AG162" s="73"/>
      <c r="AH162" s="73"/>
      <c r="AI162" s="73"/>
      <c r="AJ162" s="73"/>
      <c r="AK162" s="73"/>
      <c r="AL162" s="73"/>
      <c r="AM162" s="73"/>
      <c r="AN162" s="73"/>
      <c r="AO162" s="81"/>
      <c r="AP162" s="80"/>
      <c r="AQ162" s="73"/>
      <c r="AR162" s="73"/>
      <c r="AS162" s="73"/>
      <c r="AT162" s="73"/>
      <c r="AU162" s="73"/>
      <c r="AV162" s="73"/>
      <c r="AW162" s="73"/>
      <c r="AX162" s="73"/>
      <c r="AY162" s="73"/>
      <c r="AZ162" s="73"/>
      <c r="BA162" s="73"/>
      <c r="BB162" s="81"/>
      <c r="BC162" s="80"/>
      <c r="BD162" s="73"/>
      <c r="BE162" s="73"/>
      <c r="BF162" s="73"/>
      <c r="BG162" s="73"/>
      <c r="BH162" s="73"/>
      <c r="BI162" s="73"/>
      <c r="BJ162" s="73"/>
      <c r="BK162" s="73"/>
      <c r="BL162" s="73"/>
      <c r="BM162" s="73"/>
      <c r="BN162" s="73"/>
      <c r="BO162" s="81"/>
    </row>
    <row r="163" spans="1:67" x14ac:dyDescent="0.3">
      <c r="A163" s="89" t="s">
        <v>237</v>
      </c>
      <c r="B163" s="89" t="s">
        <v>368</v>
      </c>
      <c r="C163" s="80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81"/>
      <c r="P163" s="80"/>
      <c r="Q163" s="73"/>
      <c r="R163" s="73"/>
      <c r="S163" s="73"/>
      <c r="T163" s="73"/>
      <c r="U163" s="73"/>
      <c r="V163" s="73"/>
      <c r="W163" s="73"/>
      <c r="X163" s="73"/>
      <c r="Y163" s="73"/>
      <c r="Z163" s="73"/>
      <c r="AA163" s="73"/>
      <c r="AB163" s="81"/>
      <c r="AC163" s="80"/>
      <c r="AD163" s="73"/>
      <c r="AE163" s="73"/>
      <c r="AF163" s="73"/>
      <c r="AG163" s="73"/>
      <c r="AH163" s="73"/>
      <c r="AI163" s="73"/>
      <c r="AJ163" s="73"/>
      <c r="AK163" s="73"/>
      <c r="AL163" s="73"/>
      <c r="AM163" s="73"/>
      <c r="AN163" s="73"/>
      <c r="AO163" s="81"/>
      <c r="AP163" s="80"/>
      <c r="AQ163" s="73"/>
      <c r="AR163" s="73"/>
      <c r="AS163" s="73"/>
      <c r="AT163" s="73"/>
      <c r="AU163" s="73"/>
      <c r="AV163" s="73"/>
      <c r="AW163" s="73"/>
      <c r="AX163" s="73"/>
      <c r="AY163" s="73"/>
      <c r="AZ163" s="73"/>
      <c r="BA163" s="73"/>
      <c r="BB163" s="81"/>
      <c r="BC163" s="80"/>
      <c r="BD163" s="73"/>
      <c r="BE163" s="73"/>
      <c r="BF163" s="73"/>
      <c r="BG163" s="73"/>
      <c r="BH163" s="73"/>
      <c r="BI163" s="73"/>
      <c r="BJ163" s="73"/>
      <c r="BK163" s="73"/>
      <c r="BL163" s="73"/>
      <c r="BM163" s="73"/>
      <c r="BN163" s="73"/>
      <c r="BO163" s="81"/>
    </row>
    <row r="164" spans="1:67" x14ac:dyDescent="0.3">
      <c r="A164" s="89" t="s">
        <v>237</v>
      </c>
      <c r="B164" s="89" t="s">
        <v>370</v>
      </c>
      <c r="C164" s="80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81"/>
      <c r="P164" s="80"/>
      <c r="Q164" s="73"/>
      <c r="R164" s="73"/>
      <c r="S164" s="73"/>
      <c r="T164" s="73"/>
      <c r="U164" s="73"/>
      <c r="V164" s="73"/>
      <c r="W164" s="73"/>
      <c r="X164" s="73"/>
      <c r="Y164" s="73"/>
      <c r="Z164" s="73"/>
      <c r="AA164" s="73"/>
      <c r="AB164" s="81"/>
      <c r="AC164" s="80"/>
      <c r="AD164" s="73"/>
      <c r="AE164" s="73"/>
      <c r="AF164" s="73"/>
      <c r="AG164" s="73"/>
      <c r="AH164" s="73"/>
      <c r="AI164" s="73"/>
      <c r="AJ164" s="73"/>
      <c r="AK164" s="73"/>
      <c r="AL164" s="73"/>
      <c r="AM164" s="73"/>
      <c r="AN164" s="73"/>
      <c r="AO164" s="81"/>
      <c r="AP164" s="80"/>
      <c r="AQ164" s="73"/>
      <c r="AR164" s="73"/>
      <c r="AS164" s="73"/>
      <c r="AT164" s="73"/>
      <c r="AU164" s="73"/>
      <c r="AV164" s="73"/>
      <c r="AW164" s="73"/>
      <c r="AX164" s="73"/>
      <c r="AY164" s="73"/>
      <c r="AZ164" s="73"/>
      <c r="BA164" s="73"/>
      <c r="BB164" s="81"/>
      <c r="BC164" s="80"/>
      <c r="BD164" s="73"/>
      <c r="BE164" s="73"/>
      <c r="BF164" s="73"/>
      <c r="BG164" s="73"/>
      <c r="BH164" s="73"/>
      <c r="BI164" s="73"/>
      <c r="BJ164" s="73"/>
      <c r="BK164" s="73"/>
      <c r="BL164" s="73"/>
      <c r="BM164" s="73"/>
      <c r="BN164" s="73"/>
      <c r="BO164" s="81"/>
    </row>
    <row r="165" spans="1:67" x14ac:dyDescent="0.3">
      <c r="A165" s="89" t="s">
        <v>237</v>
      </c>
      <c r="B165" s="89" t="s">
        <v>372</v>
      </c>
      <c r="C165" s="80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81"/>
      <c r="P165" s="80"/>
      <c r="Q165" s="73"/>
      <c r="R165" s="73"/>
      <c r="S165" s="73"/>
      <c r="T165" s="73"/>
      <c r="U165" s="73"/>
      <c r="V165" s="73"/>
      <c r="W165" s="73"/>
      <c r="X165" s="73"/>
      <c r="Y165" s="73"/>
      <c r="Z165" s="73"/>
      <c r="AA165" s="73"/>
      <c r="AB165" s="81"/>
      <c r="AC165" s="80"/>
      <c r="AD165" s="73"/>
      <c r="AE165" s="73"/>
      <c r="AF165" s="73"/>
      <c r="AG165" s="73"/>
      <c r="AH165" s="73"/>
      <c r="AI165" s="73"/>
      <c r="AJ165" s="73"/>
      <c r="AK165" s="73"/>
      <c r="AL165" s="73"/>
      <c r="AM165" s="73"/>
      <c r="AN165" s="73"/>
      <c r="AO165" s="81"/>
      <c r="AP165" s="80"/>
      <c r="AQ165" s="73"/>
      <c r="AR165" s="73"/>
      <c r="AS165" s="73"/>
      <c r="AT165" s="73"/>
      <c r="AU165" s="73"/>
      <c r="AV165" s="73"/>
      <c r="AW165" s="73"/>
      <c r="AX165" s="73"/>
      <c r="AY165" s="73"/>
      <c r="AZ165" s="73"/>
      <c r="BA165" s="73"/>
      <c r="BB165" s="81"/>
      <c r="BC165" s="80"/>
      <c r="BD165" s="73"/>
      <c r="BE165" s="73"/>
      <c r="BF165" s="73"/>
      <c r="BG165" s="73"/>
      <c r="BH165" s="73"/>
      <c r="BI165" s="73"/>
      <c r="BJ165" s="73"/>
      <c r="BK165" s="73"/>
      <c r="BL165" s="73"/>
      <c r="BM165" s="73"/>
      <c r="BN165" s="73"/>
      <c r="BO165" s="81"/>
    </row>
    <row r="166" spans="1:67" x14ac:dyDescent="0.3">
      <c r="A166" s="89" t="s">
        <v>237</v>
      </c>
      <c r="B166" s="89" t="s">
        <v>374</v>
      </c>
      <c r="C166" s="80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81"/>
      <c r="P166" s="80"/>
      <c r="Q166" s="73"/>
      <c r="R166" s="73"/>
      <c r="S166" s="73"/>
      <c r="T166" s="73"/>
      <c r="U166" s="73"/>
      <c r="V166" s="73"/>
      <c r="W166" s="73"/>
      <c r="X166" s="73"/>
      <c r="Y166" s="73"/>
      <c r="Z166" s="73"/>
      <c r="AA166" s="73"/>
      <c r="AB166" s="81"/>
      <c r="AC166" s="80"/>
      <c r="AD166" s="73"/>
      <c r="AE166" s="73"/>
      <c r="AF166" s="73"/>
      <c r="AG166" s="73"/>
      <c r="AH166" s="73"/>
      <c r="AI166" s="73"/>
      <c r="AJ166" s="73"/>
      <c r="AK166" s="73"/>
      <c r="AL166" s="73"/>
      <c r="AM166" s="73"/>
      <c r="AN166" s="73"/>
      <c r="AO166" s="81"/>
      <c r="AP166" s="80"/>
      <c r="AQ166" s="73"/>
      <c r="AR166" s="73"/>
      <c r="AS166" s="73"/>
      <c r="AT166" s="73"/>
      <c r="AU166" s="73"/>
      <c r="AV166" s="73"/>
      <c r="AW166" s="73"/>
      <c r="AX166" s="73"/>
      <c r="AY166" s="73"/>
      <c r="AZ166" s="73"/>
      <c r="BA166" s="73"/>
      <c r="BB166" s="81"/>
      <c r="BC166" s="80"/>
      <c r="BD166" s="73"/>
      <c r="BE166" s="73"/>
      <c r="BF166" s="73"/>
      <c r="BG166" s="73"/>
      <c r="BH166" s="73"/>
      <c r="BI166" s="73"/>
      <c r="BJ166" s="73"/>
      <c r="BK166" s="73"/>
      <c r="BL166" s="73"/>
      <c r="BM166" s="73"/>
      <c r="BN166" s="73"/>
      <c r="BO166" s="81"/>
    </row>
    <row r="167" spans="1:67" x14ac:dyDescent="0.3">
      <c r="A167" s="89" t="s">
        <v>237</v>
      </c>
      <c r="B167" s="89" t="s">
        <v>376</v>
      </c>
      <c r="C167" s="80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81"/>
      <c r="P167" s="80"/>
      <c r="Q167" s="73"/>
      <c r="R167" s="73"/>
      <c r="S167" s="73"/>
      <c r="T167" s="73"/>
      <c r="U167" s="73"/>
      <c r="V167" s="73"/>
      <c r="W167" s="73"/>
      <c r="X167" s="73"/>
      <c r="Y167" s="73"/>
      <c r="Z167" s="73"/>
      <c r="AA167" s="73"/>
      <c r="AB167" s="81"/>
      <c r="AC167" s="80"/>
      <c r="AD167" s="73"/>
      <c r="AE167" s="73"/>
      <c r="AF167" s="73"/>
      <c r="AG167" s="73"/>
      <c r="AH167" s="73"/>
      <c r="AI167" s="73"/>
      <c r="AJ167" s="73"/>
      <c r="AK167" s="73"/>
      <c r="AL167" s="73"/>
      <c r="AM167" s="73"/>
      <c r="AN167" s="73"/>
      <c r="AO167" s="81"/>
      <c r="AP167" s="80"/>
      <c r="AQ167" s="73"/>
      <c r="AR167" s="73"/>
      <c r="AS167" s="73"/>
      <c r="AT167" s="73"/>
      <c r="AU167" s="73"/>
      <c r="AV167" s="73"/>
      <c r="AW167" s="73"/>
      <c r="AX167" s="73"/>
      <c r="AY167" s="73"/>
      <c r="AZ167" s="73"/>
      <c r="BA167" s="73"/>
      <c r="BB167" s="81"/>
      <c r="BC167" s="80"/>
      <c r="BD167" s="73"/>
      <c r="BE167" s="73"/>
      <c r="BF167" s="73"/>
      <c r="BG167" s="73"/>
      <c r="BH167" s="73"/>
      <c r="BI167" s="73"/>
      <c r="BJ167" s="73"/>
      <c r="BK167" s="73"/>
      <c r="BL167" s="73"/>
      <c r="BM167" s="73"/>
      <c r="BN167" s="73"/>
      <c r="BO167" s="81"/>
    </row>
    <row r="168" spans="1:67" x14ac:dyDescent="0.3">
      <c r="A168" s="89" t="s">
        <v>237</v>
      </c>
      <c r="B168" s="89" t="s">
        <v>378</v>
      </c>
      <c r="C168" s="80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81"/>
      <c r="P168" s="80"/>
      <c r="Q168" s="73"/>
      <c r="R168" s="73"/>
      <c r="S168" s="73"/>
      <c r="T168" s="73"/>
      <c r="U168" s="73"/>
      <c r="V168" s="73"/>
      <c r="W168" s="73"/>
      <c r="X168" s="73"/>
      <c r="Y168" s="73"/>
      <c r="Z168" s="73"/>
      <c r="AA168" s="73"/>
      <c r="AB168" s="81"/>
      <c r="AC168" s="80"/>
      <c r="AD168" s="73"/>
      <c r="AE168" s="73"/>
      <c r="AF168" s="73"/>
      <c r="AG168" s="73"/>
      <c r="AH168" s="73"/>
      <c r="AI168" s="73"/>
      <c r="AJ168" s="73"/>
      <c r="AK168" s="73"/>
      <c r="AL168" s="73"/>
      <c r="AM168" s="73"/>
      <c r="AN168" s="73"/>
      <c r="AO168" s="81"/>
      <c r="AP168" s="80"/>
      <c r="AQ168" s="73"/>
      <c r="AR168" s="73"/>
      <c r="AS168" s="73"/>
      <c r="AT168" s="73"/>
      <c r="AU168" s="73"/>
      <c r="AV168" s="73"/>
      <c r="AW168" s="73"/>
      <c r="AX168" s="73"/>
      <c r="AY168" s="73"/>
      <c r="AZ168" s="73"/>
      <c r="BA168" s="73"/>
      <c r="BB168" s="81"/>
      <c r="BC168" s="80"/>
      <c r="BD168" s="73"/>
      <c r="BE168" s="73"/>
      <c r="BF168" s="73"/>
      <c r="BG168" s="73"/>
      <c r="BH168" s="73"/>
      <c r="BI168" s="73"/>
      <c r="BJ168" s="73"/>
      <c r="BK168" s="73"/>
      <c r="BL168" s="73"/>
      <c r="BM168" s="73"/>
      <c r="BN168" s="73"/>
      <c r="BO168" s="81"/>
    </row>
    <row r="169" spans="1:67" x14ac:dyDescent="0.3">
      <c r="A169" s="89" t="s">
        <v>237</v>
      </c>
      <c r="B169" s="89" t="s">
        <v>380</v>
      </c>
      <c r="C169" s="80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81"/>
      <c r="P169" s="80"/>
      <c r="Q169" s="73"/>
      <c r="R169" s="73"/>
      <c r="S169" s="73"/>
      <c r="T169" s="73"/>
      <c r="U169" s="73"/>
      <c r="V169" s="73"/>
      <c r="W169" s="73"/>
      <c r="X169" s="73"/>
      <c r="Y169" s="73"/>
      <c r="Z169" s="73"/>
      <c r="AA169" s="73"/>
      <c r="AB169" s="81"/>
      <c r="AC169" s="80"/>
      <c r="AD169" s="73"/>
      <c r="AE169" s="73"/>
      <c r="AF169" s="73"/>
      <c r="AG169" s="73"/>
      <c r="AH169" s="73"/>
      <c r="AI169" s="73"/>
      <c r="AJ169" s="73"/>
      <c r="AK169" s="73"/>
      <c r="AL169" s="73"/>
      <c r="AM169" s="73"/>
      <c r="AN169" s="73"/>
      <c r="AO169" s="81"/>
      <c r="AP169" s="80"/>
      <c r="AQ169" s="73"/>
      <c r="AR169" s="73"/>
      <c r="AS169" s="73"/>
      <c r="AT169" s="73"/>
      <c r="AU169" s="73"/>
      <c r="AV169" s="73"/>
      <c r="AW169" s="73"/>
      <c r="AX169" s="73"/>
      <c r="AY169" s="73"/>
      <c r="AZ169" s="73"/>
      <c r="BA169" s="73"/>
      <c r="BB169" s="81"/>
      <c r="BC169" s="80"/>
      <c r="BD169" s="73"/>
      <c r="BE169" s="73"/>
      <c r="BF169" s="73"/>
      <c r="BG169" s="73"/>
      <c r="BH169" s="73"/>
      <c r="BI169" s="73"/>
      <c r="BJ169" s="73"/>
      <c r="BK169" s="73"/>
      <c r="BL169" s="73"/>
      <c r="BM169" s="73"/>
      <c r="BN169" s="73"/>
      <c r="BO169" s="81"/>
    </row>
    <row r="170" spans="1:67" x14ac:dyDescent="0.3">
      <c r="A170" s="89" t="s">
        <v>237</v>
      </c>
      <c r="B170" s="89" t="s">
        <v>382</v>
      </c>
      <c r="C170" s="80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81"/>
      <c r="P170" s="80"/>
      <c r="Q170" s="73"/>
      <c r="R170" s="73"/>
      <c r="S170" s="73"/>
      <c r="T170" s="73"/>
      <c r="U170" s="73"/>
      <c r="V170" s="73"/>
      <c r="W170" s="73"/>
      <c r="X170" s="73"/>
      <c r="Y170" s="73"/>
      <c r="Z170" s="73"/>
      <c r="AA170" s="73"/>
      <c r="AB170" s="81"/>
      <c r="AC170" s="80"/>
      <c r="AD170" s="73"/>
      <c r="AE170" s="73"/>
      <c r="AF170" s="73"/>
      <c r="AG170" s="73"/>
      <c r="AH170" s="73"/>
      <c r="AI170" s="73"/>
      <c r="AJ170" s="73"/>
      <c r="AK170" s="73"/>
      <c r="AL170" s="73"/>
      <c r="AM170" s="73"/>
      <c r="AN170" s="73"/>
      <c r="AO170" s="81"/>
      <c r="AP170" s="80"/>
      <c r="AQ170" s="73"/>
      <c r="AR170" s="73"/>
      <c r="AS170" s="73"/>
      <c r="AT170" s="73"/>
      <c r="AU170" s="73"/>
      <c r="AV170" s="73"/>
      <c r="AW170" s="73"/>
      <c r="AX170" s="73"/>
      <c r="AY170" s="73"/>
      <c r="AZ170" s="73"/>
      <c r="BA170" s="73"/>
      <c r="BB170" s="81"/>
      <c r="BC170" s="80"/>
      <c r="BD170" s="73"/>
      <c r="BE170" s="73"/>
      <c r="BF170" s="73"/>
      <c r="BG170" s="73"/>
      <c r="BH170" s="73"/>
      <c r="BI170" s="73"/>
      <c r="BJ170" s="73"/>
      <c r="BK170" s="73"/>
      <c r="BL170" s="73"/>
      <c r="BM170" s="73"/>
      <c r="BN170" s="73"/>
      <c r="BO170" s="81"/>
    </row>
    <row r="171" spans="1:67" x14ac:dyDescent="0.3">
      <c r="A171" s="89" t="s">
        <v>237</v>
      </c>
      <c r="B171" s="89" t="s">
        <v>384</v>
      </c>
      <c r="C171" s="80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81"/>
      <c r="P171" s="80"/>
      <c r="Q171" s="73"/>
      <c r="R171" s="73"/>
      <c r="S171" s="73"/>
      <c r="T171" s="73"/>
      <c r="U171" s="73"/>
      <c r="V171" s="73"/>
      <c r="W171" s="73"/>
      <c r="X171" s="73"/>
      <c r="Y171" s="73"/>
      <c r="Z171" s="73"/>
      <c r="AA171" s="73"/>
      <c r="AB171" s="81"/>
      <c r="AC171" s="80"/>
      <c r="AD171" s="73"/>
      <c r="AE171" s="73"/>
      <c r="AF171" s="73"/>
      <c r="AG171" s="73"/>
      <c r="AH171" s="73"/>
      <c r="AI171" s="73"/>
      <c r="AJ171" s="73"/>
      <c r="AK171" s="73"/>
      <c r="AL171" s="73"/>
      <c r="AM171" s="73"/>
      <c r="AN171" s="73"/>
      <c r="AO171" s="81"/>
      <c r="AP171" s="80"/>
      <c r="AQ171" s="73"/>
      <c r="AR171" s="73"/>
      <c r="AS171" s="73"/>
      <c r="AT171" s="73"/>
      <c r="AU171" s="73"/>
      <c r="AV171" s="73"/>
      <c r="AW171" s="73"/>
      <c r="AX171" s="73"/>
      <c r="AY171" s="73"/>
      <c r="AZ171" s="73"/>
      <c r="BA171" s="73"/>
      <c r="BB171" s="81"/>
      <c r="BC171" s="80"/>
      <c r="BD171" s="73"/>
      <c r="BE171" s="73"/>
      <c r="BF171" s="73"/>
      <c r="BG171" s="73"/>
      <c r="BH171" s="73"/>
      <c r="BI171" s="73"/>
      <c r="BJ171" s="73"/>
      <c r="BK171" s="73"/>
      <c r="BL171" s="73"/>
      <c r="BM171" s="73"/>
      <c r="BN171" s="73"/>
      <c r="BO171" s="81"/>
    </row>
    <row r="172" spans="1:67" x14ac:dyDescent="0.3">
      <c r="A172" s="89" t="s">
        <v>237</v>
      </c>
      <c r="B172" s="89" t="s">
        <v>386</v>
      </c>
      <c r="C172" s="80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81"/>
      <c r="P172" s="80"/>
      <c r="Q172" s="73"/>
      <c r="R172" s="73"/>
      <c r="S172" s="73"/>
      <c r="T172" s="73"/>
      <c r="U172" s="73"/>
      <c r="V172" s="73"/>
      <c r="W172" s="73"/>
      <c r="X172" s="73"/>
      <c r="Y172" s="73"/>
      <c r="Z172" s="73"/>
      <c r="AA172" s="73"/>
      <c r="AB172" s="81"/>
      <c r="AC172" s="80"/>
      <c r="AD172" s="73"/>
      <c r="AE172" s="73"/>
      <c r="AF172" s="73"/>
      <c r="AG172" s="73"/>
      <c r="AH172" s="73"/>
      <c r="AI172" s="73"/>
      <c r="AJ172" s="73"/>
      <c r="AK172" s="73"/>
      <c r="AL172" s="73"/>
      <c r="AM172" s="73"/>
      <c r="AN172" s="73"/>
      <c r="AO172" s="81"/>
      <c r="AP172" s="80"/>
      <c r="AQ172" s="73"/>
      <c r="AR172" s="73"/>
      <c r="AS172" s="73"/>
      <c r="AT172" s="73"/>
      <c r="AU172" s="73"/>
      <c r="AV172" s="73"/>
      <c r="AW172" s="73"/>
      <c r="AX172" s="73"/>
      <c r="AY172" s="73"/>
      <c r="AZ172" s="73"/>
      <c r="BA172" s="73"/>
      <c r="BB172" s="81"/>
      <c r="BC172" s="80"/>
      <c r="BD172" s="73"/>
      <c r="BE172" s="73"/>
      <c r="BF172" s="73"/>
      <c r="BG172" s="73"/>
      <c r="BH172" s="73"/>
      <c r="BI172" s="73"/>
      <c r="BJ172" s="73"/>
      <c r="BK172" s="73"/>
      <c r="BL172" s="73"/>
      <c r="BM172" s="73"/>
      <c r="BN172" s="73"/>
      <c r="BO172" s="81"/>
    </row>
    <row r="173" spans="1:67" x14ac:dyDescent="0.3">
      <c r="A173" s="89" t="s">
        <v>237</v>
      </c>
      <c r="B173" s="89" t="s">
        <v>387</v>
      </c>
      <c r="C173" s="80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81"/>
      <c r="P173" s="80"/>
      <c r="Q173" s="73"/>
      <c r="R173" s="73"/>
      <c r="S173" s="73"/>
      <c r="T173" s="73"/>
      <c r="U173" s="73"/>
      <c r="V173" s="73"/>
      <c r="W173" s="73"/>
      <c r="X173" s="73"/>
      <c r="Y173" s="73"/>
      <c r="Z173" s="73"/>
      <c r="AA173" s="73"/>
      <c r="AB173" s="81"/>
      <c r="AC173" s="80"/>
      <c r="AD173" s="73"/>
      <c r="AE173" s="73"/>
      <c r="AF173" s="73"/>
      <c r="AG173" s="73"/>
      <c r="AH173" s="73"/>
      <c r="AI173" s="73"/>
      <c r="AJ173" s="73"/>
      <c r="AK173" s="73"/>
      <c r="AL173" s="73"/>
      <c r="AM173" s="73"/>
      <c r="AN173" s="73"/>
      <c r="AO173" s="81"/>
      <c r="AP173" s="80"/>
      <c r="AQ173" s="73"/>
      <c r="AR173" s="73"/>
      <c r="AS173" s="73"/>
      <c r="AT173" s="73"/>
      <c r="AU173" s="73"/>
      <c r="AV173" s="73"/>
      <c r="AW173" s="73"/>
      <c r="AX173" s="73"/>
      <c r="AY173" s="73"/>
      <c r="AZ173" s="73"/>
      <c r="BA173" s="73"/>
      <c r="BB173" s="81"/>
      <c r="BC173" s="80"/>
      <c r="BD173" s="73"/>
      <c r="BE173" s="73"/>
      <c r="BF173" s="73"/>
      <c r="BG173" s="73"/>
      <c r="BH173" s="73"/>
      <c r="BI173" s="73"/>
      <c r="BJ173" s="73"/>
      <c r="BK173" s="73"/>
      <c r="BL173" s="73"/>
      <c r="BM173" s="73"/>
      <c r="BN173" s="73"/>
      <c r="BO173" s="81"/>
    </row>
    <row r="174" spans="1:67" x14ac:dyDescent="0.3">
      <c r="A174" s="89" t="s">
        <v>232</v>
      </c>
      <c r="B174" s="89" t="s">
        <v>389</v>
      </c>
      <c r="C174" s="80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81"/>
      <c r="P174" s="80"/>
      <c r="Q174" s="73"/>
      <c r="R174" s="73"/>
      <c r="S174" s="73"/>
      <c r="T174" s="73"/>
      <c r="U174" s="73"/>
      <c r="V174" s="73"/>
      <c r="W174" s="73"/>
      <c r="X174" s="73"/>
      <c r="Y174" s="73"/>
      <c r="Z174" s="73"/>
      <c r="AA174" s="73"/>
      <c r="AB174" s="81"/>
      <c r="AC174" s="80"/>
      <c r="AD174" s="73"/>
      <c r="AE174" s="73"/>
      <c r="AF174" s="73"/>
      <c r="AG174" s="73"/>
      <c r="AH174" s="73"/>
      <c r="AI174" s="73"/>
      <c r="AJ174" s="73"/>
      <c r="AK174" s="73"/>
      <c r="AL174" s="73"/>
      <c r="AM174" s="73"/>
      <c r="AN174" s="73"/>
      <c r="AO174" s="81"/>
      <c r="AP174" s="80"/>
      <c r="AQ174" s="73"/>
      <c r="AR174" s="73"/>
      <c r="AS174" s="73"/>
      <c r="AT174" s="73"/>
      <c r="AU174" s="73"/>
      <c r="AV174" s="73"/>
      <c r="AW174" s="73"/>
      <c r="AX174" s="73"/>
      <c r="AY174" s="73"/>
      <c r="AZ174" s="73"/>
      <c r="BA174" s="73"/>
      <c r="BB174" s="81"/>
      <c r="BC174" s="80"/>
      <c r="BD174" s="73"/>
      <c r="BE174" s="73"/>
      <c r="BF174" s="73"/>
      <c r="BG174" s="73"/>
      <c r="BH174" s="73"/>
      <c r="BI174" s="73"/>
      <c r="BJ174" s="73"/>
      <c r="BK174" s="73"/>
      <c r="BL174" s="73"/>
      <c r="BM174" s="73"/>
      <c r="BN174" s="73"/>
      <c r="BO174" s="81"/>
    </row>
    <row r="175" spans="1:67" x14ac:dyDescent="0.3">
      <c r="A175" s="89" t="s">
        <v>44</v>
      </c>
      <c r="B175" s="89" t="s">
        <v>391</v>
      </c>
      <c r="C175" s="80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81"/>
      <c r="P175" s="80"/>
      <c r="Q175" s="73"/>
      <c r="R175" s="73"/>
      <c r="S175" s="73"/>
      <c r="T175" s="73"/>
      <c r="U175" s="73"/>
      <c r="V175" s="73"/>
      <c r="W175" s="73"/>
      <c r="X175" s="73"/>
      <c r="Y175" s="73"/>
      <c r="Z175" s="73"/>
      <c r="AA175" s="73"/>
      <c r="AB175" s="81"/>
      <c r="AC175" s="80"/>
      <c r="AD175" s="73"/>
      <c r="AE175" s="73"/>
      <c r="AF175" s="73"/>
      <c r="AG175" s="73"/>
      <c r="AH175" s="73"/>
      <c r="AI175" s="73"/>
      <c r="AJ175" s="73"/>
      <c r="AK175" s="73"/>
      <c r="AL175" s="73"/>
      <c r="AM175" s="73"/>
      <c r="AN175" s="73"/>
      <c r="AO175" s="81"/>
      <c r="AP175" s="80"/>
      <c r="AQ175" s="73"/>
      <c r="AR175" s="73"/>
      <c r="AS175" s="73"/>
      <c r="AT175" s="73"/>
      <c r="AU175" s="73"/>
      <c r="AV175" s="73"/>
      <c r="AW175" s="73"/>
      <c r="AX175" s="73"/>
      <c r="AY175" s="73"/>
      <c r="AZ175" s="73"/>
      <c r="BA175" s="73"/>
      <c r="BB175" s="81"/>
      <c r="BC175" s="80"/>
      <c r="BD175" s="73"/>
      <c r="BE175" s="73"/>
      <c r="BF175" s="73"/>
      <c r="BG175" s="73"/>
      <c r="BH175" s="73"/>
      <c r="BI175" s="73"/>
      <c r="BJ175" s="73"/>
      <c r="BK175" s="73"/>
      <c r="BL175" s="73"/>
      <c r="BM175" s="73"/>
      <c r="BN175" s="73"/>
      <c r="BO175" s="81"/>
    </row>
    <row r="176" spans="1:67" x14ac:dyDescent="0.3">
      <c r="A176" s="89" t="s">
        <v>44</v>
      </c>
      <c r="B176" s="89" t="s">
        <v>393</v>
      </c>
      <c r="C176" s="80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81"/>
      <c r="P176" s="80"/>
      <c r="Q176" s="73"/>
      <c r="R176" s="73"/>
      <c r="S176" s="73"/>
      <c r="T176" s="73"/>
      <c r="U176" s="73"/>
      <c r="V176" s="73"/>
      <c r="W176" s="73"/>
      <c r="X176" s="73"/>
      <c r="Y176" s="73"/>
      <c r="Z176" s="73"/>
      <c r="AA176" s="73"/>
      <c r="AB176" s="81"/>
      <c r="AC176" s="80"/>
      <c r="AD176" s="73"/>
      <c r="AE176" s="73"/>
      <c r="AF176" s="73"/>
      <c r="AG176" s="73"/>
      <c r="AH176" s="73"/>
      <c r="AI176" s="73"/>
      <c r="AJ176" s="73"/>
      <c r="AK176" s="73"/>
      <c r="AL176" s="73"/>
      <c r="AM176" s="73"/>
      <c r="AN176" s="73"/>
      <c r="AO176" s="81"/>
      <c r="AP176" s="80"/>
      <c r="AQ176" s="73"/>
      <c r="AR176" s="73"/>
      <c r="AS176" s="73"/>
      <c r="AT176" s="73"/>
      <c r="AU176" s="73"/>
      <c r="AV176" s="73"/>
      <c r="AW176" s="73"/>
      <c r="AX176" s="73"/>
      <c r="AY176" s="73"/>
      <c r="AZ176" s="73"/>
      <c r="BA176" s="73"/>
      <c r="BB176" s="81"/>
      <c r="BC176" s="80"/>
      <c r="BD176" s="73"/>
      <c r="BE176" s="73"/>
      <c r="BF176" s="73"/>
      <c r="BG176" s="73"/>
      <c r="BH176" s="73"/>
      <c r="BI176" s="73"/>
      <c r="BJ176" s="73"/>
      <c r="BK176" s="73"/>
      <c r="BL176" s="73"/>
      <c r="BM176" s="73"/>
      <c r="BN176" s="73"/>
      <c r="BO176" s="81"/>
    </row>
    <row r="177" spans="1:67" x14ac:dyDescent="0.3">
      <c r="A177" s="89" t="s">
        <v>44</v>
      </c>
      <c r="B177" s="89" t="s">
        <v>395</v>
      </c>
      <c r="C177" s="80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81"/>
      <c r="P177" s="80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81"/>
      <c r="AC177" s="80"/>
      <c r="AD177" s="73"/>
      <c r="AE177" s="73"/>
      <c r="AF177" s="73"/>
      <c r="AG177" s="73"/>
      <c r="AH177" s="73"/>
      <c r="AI177" s="73"/>
      <c r="AJ177" s="73"/>
      <c r="AK177" s="73"/>
      <c r="AL177" s="73"/>
      <c r="AM177" s="73"/>
      <c r="AN177" s="73"/>
      <c r="AO177" s="81"/>
      <c r="AP177" s="80"/>
      <c r="AQ177" s="73"/>
      <c r="AR177" s="73"/>
      <c r="AS177" s="73"/>
      <c r="AT177" s="73"/>
      <c r="AU177" s="73"/>
      <c r="AV177" s="73"/>
      <c r="AW177" s="73"/>
      <c r="AX177" s="73"/>
      <c r="AY177" s="73"/>
      <c r="AZ177" s="73"/>
      <c r="BA177" s="73"/>
      <c r="BB177" s="81"/>
      <c r="BC177" s="80"/>
      <c r="BD177" s="73"/>
      <c r="BE177" s="73"/>
      <c r="BF177" s="73"/>
      <c r="BG177" s="73"/>
      <c r="BH177" s="73"/>
      <c r="BI177" s="73"/>
      <c r="BJ177" s="73"/>
      <c r="BK177" s="73"/>
      <c r="BL177" s="73"/>
      <c r="BM177" s="73"/>
      <c r="BN177" s="73"/>
      <c r="BO177" s="81"/>
    </row>
    <row r="178" spans="1:67" x14ac:dyDescent="0.3">
      <c r="A178" s="89" t="s">
        <v>44</v>
      </c>
      <c r="B178" s="89" t="s">
        <v>397</v>
      </c>
      <c r="C178" s="80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81"/>
      <c r="P178" s="80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81"/>
      <c r="AC178" s="80"/>
      <c r="AD178" s="73"/>
      <c r="AE178" s="73"/>
      <c r="AF178" s="73"/>
      <c r="AG178" s="73"/>
      <c r="AH178" s="73"/>
      <c r="AI178" s="73"/>
      <c r="AJ178" s="73"/>
      <c r="AK178" s="73"/>
      <c r="AL178" s="73"/>
      <c r="AM178" s="73"/>
      <c r="AN178" s="73"/>
      <c r="AO178" s="81"/>
      <c r="AP178" s="80"/>
      <c r="AQ178" s="73"/>
      <c r="AR178" s="73"/>
      <c r="AS178" s="73"/>
      <c r="AT178" s="73"/>
      <c r="AU178" s="73"/>
      <c r="AV178" s="73"/>
      <c r="AW178" s="73"/>
      <c r="AX178" s="73"/>
      <c r="AY178" s="73"/>
      <c r="AZ178" s="73"/>
      <c r="BA178" s="73"/>
      <c r="BB178" s="81"/>
      <c r="BC178" s="80"/>
      <c r="BD178" s="73"/>
      <c r="BE178" s="73"/>
      <c r="BF178" s="73"/>
      <c r="BG178" s="73"/>
      <c r="BH178" s="73"/>
      <c r="BI178" s="73"/>
      <c r="BJ178" s="73"/>
      <c r="BK178" s="73"/>
      <c r="BL178" s="73"/>
      <c r="BM178" s="73"/>
      <c r="BN178" s="73"/>
      <c r="BO178" s="81"/>
    </row>
    <row r="179" spans="1:67" x14ac:dyDescent="0.3">
      <c r="A179" s="89" t="s">
        <v>108</v>
      </c>
      <c r="B179" s="89" t="s">
        <v>399</v>
      </c>
      <c r="C179" s="80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81"/>
      <c r="P179" s="80"/>
      <c r="Q179" s="73"/>
      <c r="R179" s="73"/>
      <c r="S179" s="73"/>
      <c r="T179" s="73"/>
      <c r="U179" s="73"/>
      <c r="V179" s="73"/>
      <c r="W179" s="73"/>
      <c r="X179" s="73"/>
      <c r="Y179" s="73"/>
      <c r="Z179" s="73"/>
      <c r="AA179" s="73"/>
      <c r="AB179" s="81"/>
      <c r="AC179" s="80"/>
      <c r="AD179" s="73"/>
      <c r="AE179" s="73"/>
      <c r="AF179" s="73"/>
      <c r="AG179" s="73"/>
      <c r="AH179" s="73"/>
      <c r="AI179" s="73"/>
      <c r="AJ179" s="73"/>
      <c r="AK179" s="73"/>
      <c r="AL179" s="73"/>
      <c r="AM179" s="73"/>
      <c r="AN179" s="73"/>
      <c r="AO179" s="81"/>
      <c r="AP179" s="80"/>
      <c r="AQ179" s="73"/>
      <c r="AR179" s="73"/>
      <c r="AS179" s="73"/>
      <c r="AT179" s="73"/>
      <c r="AU179" s="73"/>
      <c r="AV179" s="73"/>
      <c r="AW179" s="73"/>
      <c r="AX179" s="73"/>
      <c r="AY179" s="73"/>
      <c r="AZ179" s="73"/>
      <c r="BA179" s="73"/>
      <c r="BB179" s="81"/>
      <c r="BC179" s="80"/>
      <c r="BD179" s="73"/>
      <c r="BE179" s="73"/>
      <c r="BF179" s="73"/>
      <c r="BG179" s="73"/>
      <c r="BH179" s="73"/>
      <c r="BI179" s="73"/>
      <c r="BJ179" s="73"/>
      <c r="BK179" s="73"/>
      <c r="BL179" s="73"/>
      <c r="BM179" s="73"/>
      <c r="BN179" s="73"/>
      <c r="BO179" s="81"/>
    </row>
    <row r="180" spans="1:67" ht="15" thickBot="1" x14ac:dyDescent="0.35">
      <c r="A180" s="148" t="s">
        <v>44</v>
      </c>
      <c r="B180" s="148" t="s">
        <v>401</v>
      </c>
      <c r="C180" s="82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4"/>
      <c r="P180" s="82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4"/>
      <c r="AC180" s="82"/>
      <c r="AD180" s="83"/>
      <c r="AE180" s="83"/>
      <c r="AF180" s="83"/>
      <c r="AG180" s="83"/>
      <c r="AH180" s="83"/>
      <c r="AI180" s="83"/>
      <c r="AJ180" s="83"/>
      <c r="AK180" s="83"/>
      <c r="AL180" s="83"/>
      <c r="AM180" s="83"/>
      <c r="AN180" s="83"/>
      <c r="AO180" s="84"/>
      <c r="AP180" s="82"/>
      <c r="AQ180" s="83"/>
      <c r="AR180" s="83"/>
      <c r="AS180" s="83"/>
      <c r="AT180" s="83"/>
      <c r="AU180" s="83"/>
      <c r="AV180" s="83"/>
      <c r="AW180" s="83"/>
      <c r="AX180" s="83"/>
      <c r="AY180" s="83"/>
      <c r="AZ180" s="83"/>
      <c r="BA180" s="83"/>
      <c r="BB180" s="84"/>
      <c r="BC180" s="82"/>
      <c r="BD180" s="83"/>
      <c r="BE180" s="83"/>
      <c r="BF180" s="83"/>
      <c r="BG180" s="83"/>
      <c r="BH180" s="83"/>
      <c r="BI180" s="83"/>
      <c r="BJ180" s="83"/>
      <c r="BK180" s="83"/>
      <c r="BL180" s="83"/>
      <c r="BM180" s="83"/>
      <c r="BN180" s="83"/>
      <c r="BO180" s="84"/>
    </row>
  </sheetData>
  <autoFilter ref="B1:B96" xr:uid="{7984F013-C97D-45F0-AC83-B235F4D3537E}"/>
  <mergeCells count="17">
    <mergeCell ref="B1:B3"/>
    <mergeCell ref="A1:A3"/>
    <mergeCell ref="C2:N2"/>
    <mergeCell ref="C1:O1"/>
    <mergeCell ref="O2:O3"/>
    <mergeCell ref="P1:AB1"/>
    <mergeCell ref="P2:AA2"/>
    <mergeCell ref="AB2:AB3"/>
    <mergeCell ref="AC1:AO1"/>
    <mergeCell ref="AC2:AN2"/>
    <mergeCell ref="AO2:AO3"/>
    <mergeCell ref="BC1:BO1"/>
    <mergeCell ref="BC2:BN2"/>
    <mergeCell ref="BO2:BO3"/>
    <mergeCell ref="AP1:BB1"/>
    <mergeCell ref="AP2:BA2"/>
    <mergeCell ref="BB2:BB3"/>
  </mergeCells>
  <phoneticPr fontId="10" type="noConversion"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11EBC-901D-42C4-8553-2B37900EC5A3}">
  <dimension ref="A1:BO180"/>
  <sheetViews>
    <sheetView topLeftCell="AS1" workbookViewId="0">
      <selection activeCell="BH10" sqref="BH10"/>
    </sheetView>
  </sheetViews>
  <sheetFormatPr defaultRowHeight="14.4" x14ac:dyDescent="0.3"/>
  <cols>
    <col min="1" max="1" width="39.88671875" customWidth="1"/>
    <col min="2" max="2" width="35.88671875" customWidth="1"/>
    <col min="3" max="29" width="9.88671875" customWidth="1"/>
  </cols>
  <sheetData>
    <row r="1" spans="1:67" x14ac:dyDescent="0.3">
      <c r="A1" s="194" t="s">
        <v>8</v>
      </c>
      <c r="B1" s="191" t="s">
        <v>9</v>
      </c>
      <c r="C1" s="184">
        <v>2018</v>
      </c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184">
        <v>2019</v>
      </c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6"/>
      <c r="AC1" s="184">
        <v>2020</v>
      </c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6"/>
      <c r="AP1" s="184">
        <v>2021</v>
      </c>
      <c r="AQ1" s="185"/>
      <c r="AR1" s="185"/>
      <c r="AS1" s="185"/>
      <c r="AT1" s="185"/>
      <c r="AU1" s="185"/>
      <c r="AV1" s="185"/>
      <c r="AW1" s="185"/>
      <c r="AX1" s="185"/>
      <c r="AY1" s="185"/>
      <c r="AZ1" s="185"/>
      <c r="BA1" s="185"/>
      <c r="BB1" s="186"/>
      <c r="BC1" s="177">
        <v>2022</v>
      </c>
      <c r="BD1" s="178"/>
      <c r="BE1" s="178"/>
      <c r="BF1" s="178"/>
      <c r="BG1" s="178"/>
      <c r="BH1" s="178"/>
      <c r="BI1" s="178"/>
      <c r="BJ1" s="178"/>
      <c r="BK1" s="178"/>
      <c r="BL1" s="178"/>
      <c r="BM1" s="178"/>
      <c r="BN1" s="178"/>
      <c r="BO1" s="179"/>
    </row>
    <row r="2" spans="1:67" ht="14.4" customHeight="1" x14ac:dyDescent="0.3">
      <c r="A2" s="195"/>
      <c r="B2" s="192"/>
      <c r="C2" s="187" t="s">
        <v>417</v>
      </c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 t="s">
        <v>418</v>
      </c>
      <c r="P2" s="187" t="s">
        <v>417</v>
      </c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9" t="s">
        <v>418</v>
      </c>
      <c r="AC2" s="187" t="s">
        <v>417</v>
      </c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9" t="s">
        <v>642</v>
      </c>
      <c r="AP2" s="187" t="s">
        <v>417</v>
      </c>
      <c r="AQ2" s="188"/>
      <c r="AR2" s="188"/>
      <c r="AS2" s="188"/>
      <c r="AT2" s="188"/>
      <c r="AU2" s="188"/>
      <c r="AV2" s="188"/>
      <c r="AW2" s="188"/>
      <c r="AX2" s="188"/>
      <c r="AY2" s="188"/>
      <c r="AZ2" s="188"/>
      <c r="BA2" s="188"/>
      <c r="BB2" s="189" t="s">
        <v>642</v>
      </c>
      <c r="BC2" s="180" t="s">
        <v>417</v>
      </c>
      <c r="BD2" s="181"/>
      <c r="BE2" s="181"/>
      <c r="BF2" s="181"/>
      <c r="BG2" s="181"/>
      <c r="BH2" s="181"/>
      <c r="BI2" s="181"/>
      <c r="BJ2" s="181"/>
      <c r="BK2" s="181"/>
      <c r="BL2" s="181"/>
      <c r="BM2" s="181"/>
      <c r="BN2" s="181"/>
      <c r="BO2" s="182" t="s">
        <v>642</v>
      </c>
    </row>
    <row r="3" spans="1:67" ht="68.400000000000006" customHeight="1" thickBot="1" x14ac:dyDescent="0.35">
      <c r="A3" s="196"/>
      <c r="B3" s="193"/>
      <c r="C3" s="77" t="s">
        <v>403</v>
      </c>
      <c r="D3" s="76" t="s">
        <v>404</v>
      </c>
      <c r="E3" s="76" t="s">
        <v>405</v>
      </c>
      <c r="F3" s="76" t="s">
        <v>406</v>
      </c>
      <c r="G3" s="76" t="s">
        <v>407</v>
      </c>
      <c r="H3" s="76" t="s">
        <v>408</v>
      </c>
      <c r="I3" s="76" t="s">
        <v>409</v>
      </c>
      <c r="J3" s="76" t="s">
        <v>410</v>
      </c>
      <c r="K3" s="76" t="s">
        <v>411</v>
      </c>
      <c r="L3" s="76" t="s">
        <v>412</v>
      </c>
      <c r="M3" s="76" t="s">
        <v>413</v>
      </c>
      <c r="N3" s="76" t="s">
        <v>414</v>
      </c>
      <c r="O3" s="190"/>
      <c r="P3" s="77" t="s">
        <v>403</v>
      </c>
      <c r="Q3" s="76" t="s">
        <v>404</v>
      </c>
      <c r="R3" s="76" t="s">
        <v>405</v>
      </c>
      <c r="S3" s="76" t="s">
        <v>406</v>
      </c>
      <c r="T3" s="76" t="s">
        <v>407</v>
      </c>
      <c r="U3" s="76" t="s">
        <v>408</v>
      </c>
      <c r="V3" s="76" t="s">
        <v>409</v>
      </c>
      <c r="W3" s="76" t="s">
        <v>410</v>
      </c>
      <c r="X3" s="76" t="s">
        <v>411</v>
      </c>
      <c r="Y3" s="76" t="s">
        <v>412</v>
      </c>
      <c r="Z3" s="76" t="s">
        <v>413</v>
      </c>
      <c r="AA3" s="76" t="s">
        <v>414</v>
      </c>
      <c r="AB3" s="190"/>
      <c r="AC3" s="77" t="s">
        <v>403</v>
      </c>
      <c r="AD3" s="76" t="s">
        <v>404</v>
      </c>
      <c r="AE3" s="76" t="s">
        <v>405</v>
      </c>
      <c r="AF3" s="76" t="s">
        <v>406</v>
      </c>
      <c r="AG3" s="76" t="s">
        <v>407</v>
      </c>
      <c r="AH3" s="76" t="s">
        <v>408</v>
      </c>
      <c r="AI3" s="76" t="s">
        <v>409</v>
      </c>
      <c r="AJ3" s="76" t="s">
        <v>410</v>
      </c>
      <c r="AK3" s="76" t="s">
        <v>411</v>
      </c>
      <c r="AL3" s="76" t="s">
        <v>412</v>
      </c>
      <c r="AM3" s="76" t="s">
        <v>413</v>
      </c>
      <c r="AN3" s="76" t="s">
        <v>414</v>
      </c>
      <c r="AO3" s="190"/>
      <c r="AP3" s="77" t="s">
        <v>403</v>
      </c>
      <c r="AQ3" s="76" t="s">
        <v>404</v>
      </c>
      <c r="AR3" s="76" t="s">
        <v>405</v>
      </c>
      <c r="AS3" s="76" t="s">
        <v>406</v>
      </c>
      <c r="AT3" s="76" t="s">
        <v>407</v>
      </c>
      <c r="AU3" s="76" t="s">
        <v>408</v>
      </c>
      <c r="AV3" s="76" t="s">
        <v>409</v>
      </c>
      <c r="AW3" s="76" t="s">
        <v>410</v>
      </c>
      <c r="AX3" s="76" t="s">
        <v>411</v>
      </c>
      <c r="AY3" s="76" t="s">
        <v>412</v>
      </c>
      <c r="AZ3" s="76" t="s">
        <v>413</v>
      </c>
      <c r="BA3" s="76" t="s">
        <v>414</v>
      </c>
      <c r="BB3" s="190"/>
      <c r="BC3" s="170" t="s">
        <v>403</v>
      </c>
      <c r="BD3" s="171" t="s">
        <v>404</v>
      </c>
      <c r="BE3" s="171" t="s">
        <v>405</v>
      </c>
      <c r="BF3" s="171" t="s">
        <v>406</v>
      </c>
      <c r="BG3" s="171" t="s">
        <v>407</v>
      </c>
      <c r="BH3" s="171" t="s">
        <v>408</v>
      </c>
      <c r="BI3" s="171" t="s">
        <v>409</v>
      </c>
      <c r="BJ3" s="171" t="s">
        <v>410</v>
      </c>
      <c r="BK3" s="171" t="s">
        <v>411</v>
      </c>
      <c r="BL3" s="171" t="s">
        <v>412</v>
      </c>
      <c r="BM3" s="171" t="s">
        <v>413</v>
      </c>
      <c r="BN3" s="171" t="s">
        <v>414</v>
      </c>
      <c r="BO3" s="183"/>
    </row>
    <row r="4" spans="1:67" x14ac:dyDescent="0.3">
      <c r="A4" s="104" t="s">
        <v>18</v>
      </c>
      <c r="B4" s="97" t="s">
        <v>19</v>
      </c>
      <c r="C4" s="78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9">
        <f>'Seznam OM'!M7</f>
        <v>0</v>
      </c>
      <c r="P4" s="78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9">
        <f>'Seznam OM'!N7</f>
        <v>0</v>
      </c>
      <c r="AC4" s="78">
        <v>171</v>
      </c>
      <c r="AD4" s="75">
        <v>133</v>
      </c>
      <c r="AE4" s="75">
        <v>120</v>
      </c>
      <c r="AF4" s="75">
        <v>77</v>
      </c>
      <c r="AG4" s="75">
        <v>42</v>
      </c>
      <c r="AH4" s="75">
        <v>26</v>
      </c>
      <c r="AI4" s="75">
        <v>22</v>
      </c>
      <c r="AJ4" s="75">
        <v>44</v>
      </c>
      <c r="AK4" s="75">
        <v>73</v>
      </c>
      <c r="AL4" s="75">
        <v>83</v>
      </c>
      <c r="AM4" s="75">
        <v>100</v>
      </c>
      <c r="AN4" s="75">
        <v>127</v>
      </c>
      <c r="AO4" s="79">
        <v>1018</v>
      </c>
      <c r="AP4" s="78">
        <v>130</v>
      </c>
      <c r="AQ4" s="75">
        <v>117</v>
      </c>
      <c r="AR4" s="75">
        <v>108</v>
      </c>
      <c r="AS4" s="75">
        <v>83</v>
      </c>
      <c r="AT4" s="75">
        <v>38</v>
      </c>
      <c r="AU4" s="75">
        <v>22</v>
      </c>
      <c r="AV4" s="75">
        <v>26</v>
      </c>
      <c r="AW4" s="75">
        <v>50</v>
      </c>
      <c r="AX4" s="75">
        <v>81</v>
      </c>
      <c r="AY4" s="75">
        <v>111</v>
      </c>
      <c r="AZ4" s="75">
        <v>123</v>
      </c>
      <c r="BA4" s="75">
        <v>136</v>
      </c>
      <c r="BB4" s="79">
        <f>(SUM(AP4:BA4)+SUM(AC4:AN4))/2</f>
        <v>1021.5</v>
      </c>
      <c r="BC4" s="78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9"/>
    </row>
    <row r="5" spans="1:67" x14ac:dyDescent="0.3">
      <c r="A5" s="105" t="s">
        <v>21</v>
      </c>
      <c r="B5" s="98" t="s">
        <v>22</v>
      </c>
      <c r="C5" s="80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9">
        <f>'Seznam OM'!M8</f>
        <v>0</v>
      </c>
      <c r="P5" s="80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9">
        <f>'Seznam OM'!N8</f>
        <v>0</v>
      </c>
      <c r="AC5" s="80">
        <v>53</v>
      </c>
      <c r="AD5" s="73">
        <v>36</v>
      </c>
      <c r="AE5" s="73">
        <v>35</v>
      </c>
      <c r="AF5" s="73">
        <v>19</v>
      </c>
      <c r="AG5" s="73">
        <v>14</v>
      </c>
      <c r="AH5" s="73">
        <v>3</v>
      </c>
      <c r="AI5" s="73">
        <v>3</v>
      </c>
      <c r="AJ5" s="73">
        <v>3</v>
      </c>
      <c r="AK5" s="73">
        <v>4</v>
      </c>
      <c r="AL5" s="73">
        <v>25</v>
      </c>
      <c r="AM5" s="73">
        <v>36</v>
      </c>
      <c r="AN5" s="73">
        <v>48</v>
      </c>
      <c r="AO5" s="81">
        <v>280</v>
      </c>
      <c r="AP5" s="80">
        <v>53</v>
      </c>
      <c r="AQ5" s="73">
        <v>47</v>
      </c>
      <c r="AR5" s="73">
        <v>44</v>
      </c>
      <c r="AS5" s="73">
        <v>30</v>
      </c>
      <c r="AT5" s="73">
        <v>19</v>
      </c>
      <c r="AU5" s="73">
        <v>4</v>
      </c>
      <c r="AV5" s="73">
        <v>4</v>
      </c>
      <c r="AW5" s="73">
        <v>4</v>
      </c>
      <c r="AX5" s="73">
        <v>7</v>
      </c>
      <c r="AY5" s="73">
        <v>28</v>
      </c>
      <c r="AZ5" s="73">
        <v>35</v>
      </c>
      <c r="BA5" s="73">
        <v>45</v>
      </c>
      <c r="BB5" s="79">
        <f t="shared" ref="BB5:BB68" si="0">(SUM(AP5:BA5)+SUM(AC5:AN5))/2</f>
        <v>299.5</v>
      </c>
      <c r="BC5" s="80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9"/>
    </row>
    <row r="6" spans="1:67" x14ac:dyDescent="0.3">
      <c r="A6" s="106" t="s">
        <v>25</v>
      </c>
      <c r="B6" s="98" t="s">
        <v>26</v>
      </c>
      <c r="C6" s="80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9">
        <f>'Seznam OM'!M9</f>
        <v>0</v>
      </c>
      <c r="P6" s="80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9">
        <f>'Seznam OM'!N9</f>
        <v>0</v>
      </c>
      <c r="AC6" s="80">
        <v>166</v>
      </c>
      <c r="AD6" s="73">
        <v>125</v>
      </c>
      <c r="AE6" s="73">
        <v>92</v>
      </c>
      <c r="AF6" s="73">
        <v>39</v>
      </c>
      <c r="AG6" s="73">
        <v>25</v>
      </c>
      <c r="AH6" s="73">
        <v>14</v>
      </c>
      <c r="AI6" s="73">
        <v>4</v>
      </c>
      <c r="AJ6" s="73">
        <v>11</v>
      </c>
      <c r="AK6" s="73">
        <v>55</v>
      </c>
      <c r="AL6" s="73">
        <v>68</v>
      </c>
      <c r="AM6" s="73">
        <v>69</v>
      </c>
      <c r="AN6" s="73">
        <v>134</v>
      </c>
      <c r="AO6" s="81">
        <v>802</v>
      </c>
      <c r="AP6" s="80">
        <v>91</v>
      </c>
      <c r="AQ6" s="73">
        <v>79</v>
      </c>
      <c r="AR6" s="73">
        <v>76</v>
      </c>
      <c r="AS6" s="73">
        <v>44</v>
      </c>
      <c r="AT6" s="73">
        <v>27</v>
      </c>
      <c r="AU6" s="73">
        <v>23</v>
      </c>
      <c r="AV6" s="73">
        <v>5</v>
      </c>
      <c r="AW6" s="73">
        <v>28</v>
      </c>
      <c r="AX6" s="73">
        <v>67</v>
      </c>
      <c r="AY6" s="73">
        <v>106</v>
      </c>
      <c r="AZ6" s="73">
        <v>129</v>
      </c>
      <c r="BA6" s="73">
        <v>164</v>
      </c>
      <c r="BB6" s="79">
        <f t="shared" si="0"/>
        <v>820.5</v>
      </c>
      <c r="BC6" s="80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9"/>
    </row>
    <row r="7" spans="1:67" x14ac:dyDescent="0.3">
      <c r="A7" s="105" t="s">
        <v>28</v>
      </c>
      <c r="B7" s="98" t="s">
        <v>29</v>
      </c>
      <c r="C7" s="80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9">
        <f>'Seznam OM'!M10</f>
        <v>307.94</v>
      </c>
      <c r="P7" s="80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9">
        <f>'Seznam OM'!N10</f>
        <v>252.61</v>
      </c>
      <c r="AC7" s="80">
        <v>156</v>
      </c>
      <c r="AD7" s="73">
        <v>140</v>
      </c>
      <c r="AE7" s="73">
        <v>123</v>
      </c>
      <c r="AF7" s="73">
        <v>66</v>
      </c>
      <c r="AG7" s="73">
        <v>59</v>
      </c>
      <c r="AH7" s="73">
        <v>60</v>
      </c>
      <c r="AI7" s="73">
        <v>62</v>
      </c>
      <c r="AJ7" s="73">
        <v>90</v>
      </c>
      <c r="AK7" s="73">
        <v>94</v>
      </c>
      <c r="AL7" s="73">
        <v>110</v>
      </c>
      <c r="AM7" s="73">
        <v>118</v>
      </c>
      <c r="AN7" s="73">
        <v>145</v>
      </c>
      <c r="AO7" s="81">
        <v>1224</v>
      </c>
      <c r="AP7" s="80">
        <v>165</v>
      </c>
      <c r="AQ7" s="73">
        <v>146</v>
      </c>
      <c r="AR7" s="73">
        <v>136</v>
      </c>
      <c r="AS7" s="73">
        <v>109</v>
      </c>
      <c r="AT7" s="73">
        <v>92</v>
      </c>
      <c r="AU7" s="73">
        <v>60</v>
      </c>
      <c r="AV7" s="73">
        <v>56</v>
      </c>
      <c r="AW7" s="73">
        <v>59</v>
      </c>
      <c r="AX7" s="73">
        <v>68</v>
      </c>
      <c r="AY7" s="73">
        <v>110</v>
      </c>
      <c r="AZ7" s="73">
        <v>119</v>
      </c>
      <c r="BA7" s="73">
        <v>140</v>
      </c>
      <c r="BB7" s="79">
        <f t="shared" si="0"/>
        <v>1241.5</v>
      </c>
      <c r="BC7" s="80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9"/>
    </row>
    <row r="8" spans="1:67" x14ac:dyDescent="0.3">
      <c r="A8" s="109" t="s">
        <v>31</v>
      </c>
      <c r="B8" s="86" t="s">
        <v>32</v>
      </c>
      <c r="C8" s="80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9">
        <f>'Seznam OM'!M11</f>
        <v>0</v>
      </c>
      <c r="P8" s="80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9">
        <f>'Seznam OM'!N11</f>
        <v>0</v>
      </c>
      <c r="AC8" s="80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81"/>
      <c r="AP8" s="80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9">
        <f t="shared" si="0"/>
        <v>0</v>
      </c>
      <c r="BC8" s="80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9"/>
    </row>
    <row r="9" spans="1:67" x14ac:dyDescent="0.3">
      <c r="A9" s="105" t="s">
        <v>34</v>
      </c>
      <c r="B9" s="98" t="s">
        <v>35</v>
      </c>
      <c r="C9" s="80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9">
        <f>'Seznam OM'!M12</f>
        <v>0</v>
      </c>
      <c r="P9" s="80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9">
        <f>'Seznam OM'!N12</f>
        <v>0</v>
      </c>
      <c r="AC9" s="80">
        <v>99</v>
      </c>
      <c r="AD9" s="73">
        <v>63</v>
      </c>
      <c r="AE9" s="73">
        <v>62</v>
      </c>
      <c r="AF9" s="73">
        <v>33</v>
      </c>
      <c r="AG9" s="73">
        <v>20</v>
      </c>
      <c r="AH9" s="73">
        <v>3</v>
      </c>
      <c r="AI9" s="73">
        <v>3</v>
      </c>
      <c r="AJ9" s="73">
        <v>3</v>
      </c>
      <c r="AK9" s="73">
        <v>4</v>
      </c>
      <c r="AL9" s="73">
        <v>37</v>
      </c>
      <c r="AM9" s="73">
        <v>52</v>
      </c>
      <c r="AN9" s="73">
        <v>63</v>
      </c>
      <c r="AO9" s="81">
        <v>442</v>
      </c>
      <c r="AP9" s="80">
        <v>93</v>
      </c>
      <c r="AQ9" s="73">
        <v>75</v>
      </c>
      <c r="AR9" s="73">
        <v>72</v>
      </c>
      <c r="AS9" s="73">
        <v>46</v>
      </c>
      <c r="AT9" s="73">
        <v>23</v>
      </c>
      <c r="AU9" s="73">
        <v>3</v>
      </c>
      <c r="AV9" s="73">
        <v>3</v>
      </c>
      <c r="AW9" s="73">
        <v>3</v>
      </c>
      <c r="AX9" s="73">
        <v>7</v>
      </c>
      <c r="AY9" s="73">
        <v>44</v>
      </c>
      <c r="AZ9" s="73">
        <v>61</v>
      </c>
      <c r="BA9" s="73">
        <v>71</v>
      </c>
      <c r="BB9" s="79">
        <f t="shared" si="0"/>
        <v>471.5</v>
      </c>
      <c r="BC9" s="80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9"/>
    </row>
    <row r="10" spans="1:67" ht="48" x14ac:dyDescent="0.3">
      <c r="A10" s="89" t="s">
        <v>37</v>
      </c>
      <c r="B10" s="85" t="s">
        <v>38</v>
      </c>
      <c r="C10" s="80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9">
        <f>'Seznam OM'!M13</f>
        <v>0</v>
      </c>
      <c r="P10" s="80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9">
        <f>'Seznam OM'!N13</f>
        <v>0</v>
      </c>
      <c r="AC10" s="80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81"/>
      <c r="AP10" s="80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9">
        <f t="shared" si="0"/>
        <v>0</v>
      </c>
      <c r="BC10" s="80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9"/>
    </row>
    <row r="11" spans="1:67" x14ac:dyDescent="0.3">
      <c r="A11" s="74" t="s">
        <v>40</v>
      </c>
      <c r="B11" s="85" t="s">
        <v>41</v>
      </c>
      <c r="C11" s="80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9">
        <f>'Seznam OM'!M14</f>
        <v>4.07</v>
      </c>
      <c r="P11" s="80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9">
        <f>'Seznam OM'!N14</f>
        <v>4.5910000000000002</v>
      </c>
      <c r="AC11" s="80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81">
        <f>'Seznam OM'!O14</f>
        <v>3.8439999999999999</v>
      </c>
      <c r="AP11" s="80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9">
        <f t="shared" si="0"/>
        <v>0</v>
      </c>
      <c r="BC11" s="80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9"/>
    </row>
    <row r="12" spans="1:67" x14ac:dyDescent="0.3">
      <c r="A12" s="105" t="s">
        <v>44</v>
      </c>
      <c r="B12" s="98" t="s">
        <v>45</v>
      </c>
      <c r="C12" s="80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9">
        <f>'Seznam OM'!M15</f>
        <v>0</v>
      </c>
      <c r="P12" s="80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9">
        <f>'Seznam OM'!N15</f>
        <v>0</v>
      </c>
      <c r="AC12" s="80">
        <v>27</v>
      </c>
      <c r="AD12" s="73">
        <v>19</v>
      </c>
      <c r="AE12" s="73">
        <v>21</v>
      </c>
      <c r="AF12" s="73">
        <v>15</v>
      </c>
      <c r="AG12" s="73">
        <v>11</v>
      </c>
      <c r="AH12" s="73">
        <v>0</v>
      </c>
      <c r="AI12" s="73">
        <v>0</v>
      </c>
      <c r="AJ12" s="73">
        <v>0</v>
      </c>
      <c r="AK12" s="73">
        <v>1</v>
      </c>
      <c r="AL12" s="73">
        <v>13</v>
      </c>
      <c r="AM12" s="73">
        <v>20</v>
      </c>
      <c r="AN12" s="73">
        <v>23</v>
      </c>
      <c r="AO12" s="81">
        <v>148</v>
      </c>
      <c r="AP12" s="80">
        <v>28</v>
      </c>
      <c r="AQ12" s="73">
        <v>22</v>
      </c>
      <c r="AR12" s="73">
        <v>22</v>
      </c>
      <c r="AS12" s="73">
        <v>17</v>
      </c>
      <c r="AT12" s="73">
        <v>10</v>
      </c>
      <c r="AU12" s="73">
        <v>1</v>
      </c>
      <c r="AV12" s="73">
        <v>0</v>
      </c>
      <c r="AW12" s="73">
        <v>0</v>
      </c>
      <c r="AX12" s="73">
        <v>3</v>
      </c>
      <c r="AY12" s="73">
        <v>14</v>
      </c>
      <c r="AZ12" s="73">
        <v>21</v>
      </c>
      <c r="BA12" s="73">
        <v>26</v>
      </c>
      <c r="BB12" s="79">
        <f t="shared" si="0"/>
        <v>157</v>
      </c>
      <c r="BC12" s="80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9"/>
    </row>
    <row r="13" spans="1:67" x14ac:dyDescent="0.3">
      <c r="A13" s="74" t="s">
        <v>47</v>
      </c>
      <c r="B13" s="85" t="s">
        <v>48</v>
      </c>
      <c r="C13" s="80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9">
        <f>'Seznam OM'!M16</f>
        <v>0</v>
      </c>
      <c r="P13" s="80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9">
        <f>'Seznam OM'!N16</f>
        <v>0</v>
      </c>
      <c r="AC13" s="80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81"/>
      <c r="AP13" s="80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9">
        <f t="shared" si="0"/>
        <v>0</v>
      </c>
      <c r="BC13" s="80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9"/>
    </row>
    <row r="14" spans="1:67" x14ac:dyDescent="0.3">
      <c r="A14" s="105" t="s">
        <v>50</v>
      </c>
      <c r="B14" s="98" t="s">
        <v>51</v>
      </c>
      <c r="C14" s="80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9">
        <f>'Seznam OM'!M17</f>
        <v>28.26</v>
      </c>
      <c r="P14" s="80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9">
        <f>'Seznam OM'!N17</f>
        <v>27.113</v>
      </c>
      <c r="AC14" s="80">
        <v>75</v>
      </c>
      <c r="AD14" s="73">
        <v>47</v>
      </c>
      <c r="AE14" s="73">
        <v>41</v>
      </c>
      <c r="AF14" s="73">
        <v>17</v>
      </c>
      <c r="AG14" s="73">
        <v>11</v>
      </c>
      <c r="AH14" s="73">
        <v>2</v>
      </c>
      <c r="AI14" s="73">
        <v>1</v>
      </c>
      <c r="AJ14" s="73">
        <v>2</v>
      </c>
      <c r="AK14" s="73">
        <v>3</v>
      </c>
      <c r="AL14" s="73">
        <v>30</v>
      </c>
      <c r="AM14" s="73">
        <v>48</v>
      </c>
      <c r="AN14" s="73">
        <v>60</v>
      </c>
      <c r="AO14" s="156">
        <v>337</v>
      </c>
      <c r="AP14" s="80">
        <v>59</v>
      </c>
      <c r="AQ14" s="73">
        <v>51</v>
      </c>
      <c r="AR14" s="73">
        <v>45</v>
      </c>
      <c r="AS14" s="73">
        <v>31</v>
      </c>
      <c r="AT14" s="73">
        <v>16</v>
      </c>
      <c r="AU14" s="73">
        <v>1</v>
      </c>
      <c r="AV14" s="73">
        <v>2</v>
      </c>
      <c r="AW14" s="73">
        <v>3</v>
      </c>
      <c r="AX14" s="73">
        <v>7</v>
      </c>
      <c r="AY14" s="73">
        <v>30</v>
      </c>
      <c r="AZ14" s="73">
        <v>46</v>
      </c>
      <c r="BA14" s="73">
        <v>55</v>
      </c>
      <c r="BB14" s="79">
        <f t="shared" si="0"/>
        <v>341.5</v>
      </c>
      <c r="BC14" s="80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9"/>
    </row>
    <row r="15" spans="1:67" x14ac:dyDescent="0.3">
      <c r="A15" s="107" t="s">
        <v>53</v>
      </c>
      <c r="B15" s="98" t="s">
        <v>54</v>
      </c>
      <c r="C15" s="80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9">
        <f>'Seznam OM'!M18</f>
        <v>0.96499999999999997</v>
      </c>
      <c r="P15" s="80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9">
        <f>'Seznam OM'!N18</f>
        <v>0.83599999999999997</v>
      </c>
      <c r="AC15" s="80">
        <v>31</v>
      </c>
      <c r="AD15" s="73">
        <v>21</v>
      </c>
      <c r="AE15" s="73">
        <v>20</v>
      </c>
      <c r="AF15" s="73">
        <v>11</v>
      </c>
      <c r="AG15" s="73">
        <v>9</v>
      </c>
      <c r="AH15" s="73">
        <v>6</v>
      </c>
      <c r="AI15" s="73">
        <v>4</v>
      </c>
      <c r="AJ15" s="73">
        <v>5</v>
      </c>
      <c r="AK15" s="73">
        <v>6</v>
      </c>
      <c r="AL15" s="73">
        <v>12</v>
      </c>
      <c r="AM15" s="73">
        <v>17</v>
      </c>
      <c r="AN15" s="73">
        <v>20</v>
      </c>
      <c r="AO15" s="81">
        <v>161</v>
      </c>
      <c r="AP15" s="80">
        <v>25</v>
      </c>
      <c r="AQ15" s="73">
        <v>25</v>
      </c>
      <c r="AR15" s="73">
        <v>19</v>
      </c>
      <c r="AS15" s="73">
        <v>16</v>
      </c>
      <c r="AT15" s="73">
        <v>11</v>
      </c>
      <c r="AU15" s="73">
        <v>5</v>
      </c>
      <c r="AV15" s="73">
        <v>4</v>
      </c>
      <c r="AW15" s="73">
        <v>4</v>
      </c>
      <c r="AX15" s="73">
        <v>7</v>
      </c>
      <c r="AY15" s="73">
        <v>13</v>
      </c>
      <c r="AZ15" s="73">
        <v>17</v>
      </c>
      <c r="BA15" s="73">
        <v>20</v>
      </c>
      <c r="BB15" s="79">
        <f t="shared" si="0"/>
        <v>164</v>
      </c>
      <c r="BC15" s="80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9"/>
    </row>
    <row r="16" spans="1:67" x14ac:dyDescent="0.3">
      <c r="A16" s="108" t="s">
        <v>56</v>
      </c>
      <c r="B16" s="99" t="s">
        <v>57</v>
      </c>
      <c r="C16" s="80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9">
        <f>'Seznam OM'!M19</f>
        <v>0</v>
      </c>
      <c r="P16" s="80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9">
        <f>'Seznam OM'!N19</f>
        <v>0</v>
      </c>
      <c r="AC16" s="80">
        <v>27</v>
      </c>
      <c r="AD16" s="73">
        <v>19</v>
      </c>
      <c r="AE16" s="73">
        <v>21</v>
      </c>
      <c r="AF16" s="73">
        <v>8</v>
      </c>
      <c r="AG16" s="73">
        <v>2</v>
      </c>
      <c r="AH16" s="73">
        <v>0</v>
      </c>
      <c r="AI16" s="73">
        <v>0</v>
      </c>
      <c r="AJ16" s="73">
        <v>0</v>
      </c>
      <c r="AK16" s="73">
        <v>1</v>
      </c>
      <c r="AL16" s="73">
        <v>14</v>
      </c>
      <c r="AM16" s="73">
        <v>22</v>
      </c>
      <c r="AN16" s="73">
        <v>25</v>
      </c>
      <c r="AO16" s="81">
        <v>138</v>
      </c>
      <c r="AP16" s="80">
        <v>27</v>
      </c>
      <c r="AQ16" s="73">
        <v>24</v>
      </c>
      <c r="AR16" s="73">
        <v>23</v>
      </c>
      <c r="AS16" s="73">
        <v>18</v>
      </c>
      <c r="AT16" s="73">
        <v>9</v>
      </c>
      <c r="AU16" s="73">
        <v>2</v>
      </c>
      <c r="AV16" s="73">
        <v>0</v>
      </c>
      <c r="AW16" s="73">
        <v>0</v>
      </c>
      <c r="AX16" s="73">
        <v>1</v>
      </c>
      <c r="AY16" s="73">
        <v>12</v>
      </c>
      <c r="AZ16" s="73">
        <v>17</v>
      </c>
      <c r="BA16" s="73">
        <v>17</v>
      </c>
      <c r="BB16" s="79">
        <f t="shared" si="0"/>
        <v>144.5</v>
      </c>
      <c r="BC16" s="80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9"/>
    </row>
    <row r="17" spans="1:67" x14ac:dyDescent="0.3">
      <c r="A17" s="105" t="s">
        <v>59</v>
      </c>
      <c r="B17" s="98" t="s">
        <v>60</v>
      </c>
      <c r="C17" s="80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9">
        <f>'Seznam OM'!M20</f>
        <v>0</v>
      </c>
      <c r="P17" s="80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9">
        <f>'Seznam OM'!N20</f>
        <v>0</v>
      </c>
      <c r="AC17" s="80">
        <v>26</v>
      </c>
      <c r="AD17" s="73">
        <v>19</v>
      </c>
      <c r="AE17" s="73">
        <v>18</v>
      </c>
      <c r="AF17" s="73">
        <v>11</v>
      </c>
      <c r="AG17" s="73">
        <v>9</v>
      </c>
      <c r="AH17" s="73">
        <v>4</v>
      </c>
      <c r="AI17" s="73">
        <v>3</v>
      </c>
      <c r="AJ17" s="73">
        <v>4</v>
      </c>
      <c r="AK17" s="73">
        <v>4</v>
      </c>
      <c r="AL17" s="73">
        <v>12</v>
      </c>
      <c r="AM17" s="73">
        <v>18</v>
      </c>
      <c r="AN17" s="73">
        <v>21</v>
      </c>
      <c r="AO17" s="81">
        <v>148</v>
      </c>
      <c r="AP17" s="80">
        <v>24</v>
      </c>
      <c r="AQ17" s="73">
        <v>22</v>
      </c>
      <c r="AR17" s="73">
        <v>19</v>
      </c>
      <c r="AS17" s="73">
        <v>14</v>
      </c>
      <c r="AT17" s="73">
        <v>8</v>
      </c>
      <c r="AU17" s="73">
        <v>3</v>
      </c>
      <c r="AV17" s="73">
        <v>3</v>
      </c>
      <c r="AW17" s="73">
        <v>3</v>
      </c>
      <c r="AX17" s="73">
        <v>5</v>
      </c>
      <c r="AY17" s="73">
        <v>15</v>
      </c>
      <c r="AZ17" s="73">
        <v>22</v>
      </c>
      <c r="BA17" s="73">
        <v>27</v>
      </c>
      <c r="BB17" s="79">
        <f t="shared" si="0"/>
        <v>157</v>
      </c>
      <c r="BC17" s="80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9"/>
    </row>
    <row r="18" spans="1:67" x14ac:dyDescent="0.3">
      <c r="A18" s="74" t="s">
        <v>62</v>
      </c>
      <c r="B18" s="85" t="s">
        <v>63</v>
      </c>
      <c r="C18" s="80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9">
        <f>'Seznam OM'!M21</f>
        <v>0</v>
      </c>
      <c r="P18" s="80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9">
        <f>'Seznam OM'!N21</f>
        <v>0</v>
      </c>
      <c r="AC18" s="80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81"/>
      <c r="AP18" s="80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9">
        <f t="shared" si="0"/>
        <v>0</v>
      </c>
      <c r="BC18" s="80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9"/>
    </row>
    <row r="19" spans="1:67" x14ac:dyDescent="0.3">
      <c r="A19" s="74" t="s">
        <v>65</v>
      </c>
      <c r="B19" s="85" t="s">
        <v>66</v>
      </c>
      <c r="C19" s="80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9">
        <f>'Seznam OM'!M22</f>
        <v>0</v>
      </c>
      <c r="P19" s="80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9">
        <f>'Seznam OM'!N22</f>
        <v>0</v>
      </c>
      <c r="AC19" s="80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81"/>
      <c r="AP19" s="80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9">
        <f t="shared" si="0"/>
        <v>0</v>
      </c>
      <c r="BC19" s="80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9"/>
    </row>
    <row r="20" spans="1:67" x14ac:dyDescent="0.3">
      <c r="A20" s="74" t="s">
        <v>68</v>
      </c>
      <c r="B20" s="85" t="s">
        <v>69</v>
      </c>
      <c r="C20" s="80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9">
        <f>'Seznam OM'!M23</f>
        <v>0</v>
      </c>
      <c r="P20" s="80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9">
        <f>'Seznam OM'!N23</f>
        <v>0</v>
      </c>
      <c r="AC20" s="80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81"/>
      <c r="AP20" s="80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9">
        <f t="shared" si="0"/>
        <v>0</v>
      </c>
      <c r="BC20" s="80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9"/>
    </row>
    <row r="21" spans="1:67" x14ac:dyDescent="0.3">
      <c r="A21" s="74" t="s">
        <v>47</v>
      </c>
      <c r="B21" s="85" t="s">
        <v>71</v>
      </c>
      <c r="C21" s="80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9">
        <f>'Seznam OM'!M24</f>
        <v>0</v>
      </c>
      <c r="P21" s="80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9">
        <f>'Seznam OM'!N24</f>
        <v>0</v>
      </c>
      <c r="AC21" s="80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81"/>
      <c r="AP21" s="80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9">
        <f t="shared" si="0"/>
        <v>0</v>
      </c>
      <c r="BC21" s="80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9"/>
    </row>
    <row r="22" spans="1:67" x14ac:dyDescent="0.3">
      <c r="A22" s="74" t="s">
        <v>68</v>
      </c>
      <c r="B22" s="85" t="s">
        <v>73</v>
      </c>
      <c r="C22" s="80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9">
        <f>'Seznam OM'!M25</f>
        <v>61.622999999999998</v>
      </c>
      <c r="P22" s="80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9">
        <f>'Seznam OM'!N25</f>
        <v>41.073</v>
      </c>
      <c r="AC22" s="80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81">
        <f>'Seznam OM'!O25</f>
        <v>26.713000000000001</v>
      </c>
      <c r="AP22" s="80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9">
        <f t="shared" si="0"/>
        <v>0</v>
      </c>
      <c r="BC22" s="80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9"/>
    </row>
    <row r="23" spans="1:67" x14ac:dyDescent="0.3">
      <c r="A23" s="74" t="s">
        <v>68</v>
      </c>
      <c r="B23" s="85" t="s">
        <v>75</v>
      </c>
      <c r="C23" s="80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9">
        <f>'Seznam OM'!M26</f>
        <v>4.7</v>
      </c>
      <c r="P23" s="80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9">
        <f>'Seznam OM'!N26</f>
        <v>5.1989999999999998</v>
      </c>
      <c r="AC23" s="80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81">
        <f>'Seznam OM'!O26</f>
        <v>9.0559999999999992</v>
      </c>
      <c r="AP23" s="80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9">
        <f t="shared" si="0"/>
        <v>0</v>
      </c>
      <c r="BC23" s="80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9"/>
    </row>
    <row r="24" spans="1:67" x14ac:dyDescent="0.3">
      <c r="A24" s="74" t="s">
        <v>65</v>
      </c>
      <c r="B24" s="85" t="s">
        <v>77</v>
      </c>
      <c r="C24" s="80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9">
        <f>'Seznam OM'!M27</f>
        <v>0</v>
      </c>
      <c r="P24" s="80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9">
        <f>'Seznam OM'!N27</f>
        <v>0</v>
      </c>
      <c r="AC24" s="80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81"/>
      <c r="AP24" s="80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9">
        <f t="shared" si="0"/>
        <v>0</v>
      </c>
      <c r="BC24" s="80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9"/>
    </row>
    <row r="25" spans="1:67" x14ac:dyDescent="0.3">
      <c r="A25" s="74" t="s">
        <v>79</v>
      </c>
      <c r="B25" s="85" t="s">
        <v>80</v>
      </c>
      <c r="C25" s="80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9">
        <f>'Seznam OM'!M28</f>
        <v>0</v>
      </c>
      <c r="P25" s="80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9">
        <f>'Seznam OM'!N28</f>
        <v>0</v>
      </c>
      <c r="AC25" s="80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81"/>
      <c r="AP25" s="80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9">
        <f t="shared" si="0"/>
        <v>0</v>
      </c>
      <c r="BC25" s="80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9"/>
    </row>
    <row r="26" spans="1:67" x14ac:dyDescent="0.3">
      <c r="A26" s="74" t="s">
        <v>82</v>
      </c>
      <c r="B26" s="85" t="s">
        <v>83</v>
      </c>
      <c r="C26" s="80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9">
        <f>'Seznam OM'!M29</f>
        <v>145.31200000000001</v>
      </c>
      <c r="P26" s="80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9">
        <f>'Seznam OM'!N29</f>
        <v>0</v>
      </c>
      <c r="AC26" s="80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81"/>
      <c r="AP26" s="80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9">
        <f t="shared" si="0"/>
        <v>0</v>
      </c>
      <c r="BC26" s="80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9"/>
    </row>
    <row r="27" spans="1:67" x14ac:dyDescent="0.3">
      <c r="A27" s="74" t="s">
        <v>85</v>
      </c>
      <c r="B27" s="85" t="s">
        <v>86</v>
      </c>
      <c r="C27" s="80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9">
        <f>'Seznam OM'!M30</f>
        <v>0</v>
      </c>
      <c r="P27" s="80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9">
        <f>'Seznam OM'!N30</f>
        <v>0</v>
      </c>
      <c r="AC27" s="80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81"/>
      <c r="AP27" s="80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9">
        <f t="shared" si="0"/>
        <v>0</v>
      </c>
      <c r="BC27" s="80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9"/>
    </row>
    <row r="28" spans="1:67" x14ac:dyDescent="0.3">
      <c r="A28" s="74" t="s">
        <v>47</v>
      </c>
      <c r="B28" s="85" t="s">
        <v>88</v>
      </c>
      <c r="C28" s="80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9">
        <f>'Seznam OM'!M31</f>
        <v>0</v>
      </c>
      <c r="P28" s="80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9">
        <f>'Seznam OM'!N31</f>
        <v>0</v>
      </c>
      <c r="AC28" s="80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81"/>
      <c r="AP28" s="80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9">
        <f t="shared" si="0"/>
        <v>0</v>
      </c>
      <c r="BC28" s="80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9"/>
    </row>
    <row r="29" spans="1:67" x14ac:dyDescent="0.3">
      <c r="A29" s="90" t="s">
        <v>53</v>
      </c>
      <c r="B29" s="85" t="s">
        <v>90</v>
      </c>
      <c r="C29" s="80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9">
        <f>'Seznam OM'!M32</f>
        <v>222.72399999999999</v>
      </c>
      <c r="P29" s="80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9">
        <f>'Seznam OM'!N32</f>
        <v>0</v>
      </c>
      <c r="AC29" s="80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81"/>
      <c r="AP29" s="80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9">
        <f t="shared" si="0"/>
        <v>0</v>
      </c>
      <c r="BC29" s="80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9"/>
    </row>
    <row r="30" spans="1:67" x14ac:dyDescent="0.3">
      <c r="A30" s="74" t="s">
        <v>92</v>
      </c>
      <c r="B30" s="85" t="s">
        <v>93</v>
      </c>
      <c r="C30" s="80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9">
        <f>'Seznam OM'!M33</f>
        <v>0</v>
      </c>
      <c r="P30" s="80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9">
        <f>'Seznam OM'!N33</f>
        <v>0</v>
      </c>
      <c r="AC30" s="80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81"/>
      <c r="AP30" s="80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9">
        <f t="shared" si="0"/>
        <v>0</v>
      </c>
      <c r="BC30" s="80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9"/>
    </row>
    <row r="31" spans="1:67" x14ac:dyDescent="0.3">
      <c r="A31" s="74" t="s">
        <v>95</v>
      </c>
      <c r="B31" s="85" t="s">
        <v>96</v>
      </c>
      <c r="C31" s="80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9">
        <f>'Seznam OM'!M34</f>
        <v>0</v>
      </c>
      <c r="P31" s="80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9">
        <f>'Seznam OM'!N34</f>
        <v>0</v>
      </c>
      <c r="AC31" s="80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81"/>
      <c r="AP31" s="80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9">
        <f t="shared" si="0"/>
        <v>0</v>
      </c>
      <c r="BC31" s="80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9"/>
    </row>
    <row r="32" spans="1:67" x14ac:dyDescent="0.3">
      <c r="A32" s="90" t="s">
        <v>53</v>
      </c>
      <c r="B32" s="85" t="s">
        <v>98</v>
      </c>
      <c r="C32" s="80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9">
        <f>'Seznam OM'!M35</f>
        <v>258.73599999999999</v>
      </c>
      <c r="P32" s="80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9">
        <f>'Seznam OM'!N35</f>
        <v>0</v>
      </c>
      <c r="AC32" s="80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81"/>
      <c r="AP32" s="80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9">
        <f t="shared" si="0"/>
        <v>0</v>
      </c>
      <c r="BC32" s="80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9"/>
    </row>
    <row r="33" spans="1:67" x14ac:dyDescent="0.3">
      <c r="A33" s="74" t="s">
        <v>65</v>
      </c>
      <c r="B33" s="85" t="s">
        <v>100</v>
      </c>
      <c r="C33" s="80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9">
        <f>'Seznam OM'!M36</f>
        <v>0</v>
      </c>
      <c r="P33" s="80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9">
        <f>'Seznam OM'!N36</f>
        <v>0</v>
      </c>
      <c r="AC33" s="80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81"/>
      <c r="AP33" s="80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9">
        <f t="shared" si="0"/>
        <v>0</v>
      </c>
      <c r="BC33" s="80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9"/>
    </row>
    <row r="34" spans="1:67" x14ac:dyDescent="0.3">
      <c r="A34" s="105" t="s">
        <v>102</v>
      </c>
      <c r="B34" s="98" t="s">
        <v>103</v>
      </c>
      <c r="C34" s="80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9">
        <f>'Seznam OM'!M37</f>
        <v>0</v>
      </c>
      <c r="P34" s="80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9">
        <f>'Seznam OM'!N37</f>
        <v>0</v>
      </c>
      <c r="AC34" s="80">
        <v>77</v>
      </c>
      <c r="AD34" s="73">
        <v>53</v>
      </c>
      <c r="AE34" s="73">
        <v>54</v>
      </c>
      <c r="AF34" s="73">
        <v>31</v>
      </c>
      <c r="AG34" s="73">
        <v>28</v>
      </c>
      <c r="AH34" s="73">
        <v>14</v>
      </c>
      <c r="AI34" s="73">
        <v>13</v>
      </c>
      <c r="AJ34" s="73">
        <v>18</v>
      </c>
      <c r="AK34" s="73">
        <v>39</v>
      </c>
      <c r="AL34" s="73">
        <v>62</v>
      </c>
      <c r="AM34" s="73">
        <v>75</v>
      </c>
      <c r="AN34" s="73">
        <v>31</v>
      </c>
      <c r="AO34" s="81">
        <v>479</v>
      </c>
      <c r="AP34" s="80">
        <v>77</v>
      </c>
      <c r="AQ34" s="73">
        <v>69</v>
      </c>
      <c r="AR34" s="73">
        <v>64</v>
      </c>
      <c r="AS34" s="73">
        <v>47</v>
      </c>
      <c r="AT34" s="73">
        <v>28</v>
      </c>
      <c r="AU34" s="73">
        <v>13</v>
      </c>
      <c r="AV34" s="73">
        <v>13</v>
      </c>
      <c r="AW34" s="73">
        <v>13</v>
      </c>
      <c r="AX34" s="73">
        <v>17</v>
      </c>
      <c r="AY34" s="73">
        <v>41</v>
      </c>
      <c r="AZ34" s="73">
        <v>60</v>
      </c>
      <c r="BA34" s="73">
        <v>75</v>
      </c>
      <c r="BB34" s="79">
        <f t="shared" si="0"/>
        <v>506</v>
      </c>
      <c r="BC34" s="80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9"/>
    </row>
    <row r="35" spans="1:67" x14ac:dyDescent="0.3">
      <c r="A35" s="74" t="s">
        <v>105</v>
      </c>
      <c r="B35" s="85" t="s">
        <v>106</v>
      </c>
      <c r="C35" s="80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9">
        <f>'Seznam OM'!M38</f>
        <v>0</v>
      </c>
      <c r="P35" s="80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9">
        <f>'Seznam OM'!N38</f>
        <v>0</v>
      </c>
      <c r="AC35" s="80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81"/>
      <c r="AP35" s="80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9">
        <f t="shared" si="0"/>
        <v>0</v>
      </c>
      <c r="BC35" s="80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9"/>
    </row>
    <row r="36" spans="1:67" x14ac:dyDescent="0.3">
      <c r="A36" s="74" t="s">
        <v>108</v>
      </c>
      <c r="B36" s="85" t="s">
        <v>109</v>
      </c>
      <c r="C36" s="80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9">
        <f>'Seznam OM'!M39</f>
        <v>0</v>
      </c>
      <c r="P36" s="80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9">
        <f>'Seznam OM'!N39</f>
        <v>0</v>
      </c>
      <c r="AC36" s="80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81"/>
      <c r="AP36" s="80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9">
        <f t="shared" si="0"/>
        <v>0</v>
      </c>
      <c r="BC36" s="80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9"/>
    </row>
    <row r="37" spans="1:67" x14ac:dyDescent="0.3">
      <c r="A37" s="74" t="s">
        <v>111</v>
      </c>
      <c r="B37" s="85" t="s">
        <v>112</v>
      </c>
      <c r="C37" s="80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9">
        <f>'Seznam OM'!M40</f>
        <v>0</v>
      </c>
      <c r="P37" s="80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9">
        <f>'Seznam OM'!N40</f>
        <v>3.5339999999999998</v>
      </c>
      <c r="AC37" s="80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81"/>
      <c r="AP37" s="80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9">
        <f t="shared" si="0"/>
        <v>0</v>
      </c>
      <c r="BC37" s="80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9"/>
    </row>
    <row r="38" spans="1:67" x14ac:dyDescent="0.3">
      <c r="A38" s="74" t="s">
        <v>108</v>
      </c>
      <c r="B38" s="85" t="s">
        <v>114</v>
      </c>
      <c r="C38" s="80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9">
        <f>'Seznam OM'!M41</f>
        <v>0</v>
      </c>
      <c r="P38" s="80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9">
        <f>'Seznam OM'!N41</f>
        <v>0</v>
      </c>
      <c r="AC38" s="80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81"/>
      <c r="AP38" s="80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9">
        <f t="shared" si="0"/>
        <v>0</v>
      </c>
      <c r="BC38" s="80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9"/>
    </row>
    <row r="39" spans="1:67" x14ac:dyDescent="0.3">
      <c r="A39" s="74" t="s">
        <v>108</v>
      </c>
      <c r="B39" s="85" t="s">
        <v>116</v>
      </c>
      <c r="C39" s="80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9">
        <f>'Seznam OM'!M42</f>
        <v>0</v>
      </c>
      <c r="P39" s="80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9">
        <f>'Seznam OM'!N42</f>
        <v>0</v>
      </c>
      <c r="AC39" s="80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81"/>
      <c r="AP39" s="80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9">
        <f t="shared" si="0"/>
        <v>0</v>
      </c>
      <c r="BC39" s="80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9"/>
    </row>
    <row r="40" spans="1:67" x14ac:dyDescent="0.3">
      <c r="A40" s="74" t="s">
        <v>68</v>
      </c>
      <c r="B40" s="85" t="s">
        <v>118</v>
      </c>
      <c r="C40" s="80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9">
        <f>'Seznam OM'!M43</f>
        <v>0</v>
      </c>
      <c r="P40" s="80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9">
        <f>'Seznam OM'!N43</f>
        <v>0</v>
      </c>
      <c r="AC40" s="80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81"/>
      <c r="AP40" s="80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9">
        <f t="shared" si="0"/>
        <v>0</v>
      </c>
      <c r="BC40" s="80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9"/>
    </row>
    <row r="41" spans="1:67" x14ac:dyDescent="0.3">
      <c r="A41" s="105" t="s">
        <v>120</v>
      </c>
      <c r="B41" s="98" t="s">
        <v>121</v>
      </c>
      <c r="C41" s="80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9">
        <f>'Seznam OM'!M44</f>
        <v>0</v>
      </c>
      <c r="P41" s="80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9">
        <f>'Seznam OM'!N44</f>
        <v>0</v>
      </c>
      <c r="AC41" s="80">
        <v>42</v>
      </c>
      <c r="AD41" s="73">
        <v>25</v>
      </c>
      <c r="AE41" s="73">
        <v>26</v>
      </c>
      <c r="AF41" s="73">
        <v>12</v>
      </c>
      <c r="AG41" s="73">
        <v>5</v>
      </c>
      <c r="AH41" s="73">
        <v>0</v>
      </c>
      <c r="AI41" s="73">
        <v>0</v>
      </c>
      <c r="AJ41" s="73">
        <v>0</v>
      </c>
      <c r="AK41" s="73">
        <v>1</v>
      </c>
      <c r="AL41" s="73">
        <v>20</v>
      </c>
      <c r="AM41" s="73">
        <v>28</v>
      </c>
      <c r="AN41" s="73">
        <v>36</v>
      </c>
      <c r="AO41" s="81">
        <v>194</v>
      </c>
      <c r="AP41" s="80">
        <v>41</v>
      </c>
      <c r="AQ41" s="73">
        <v>37</v>
      </c>
      <c r="AR41" s="73">
        <v>33</v>
      </c>
      <c r="AS41" s="73">
        <v>21</v>
      </c>
      <c r="AT41" s="73">
        <v>10</v>
      </c>
      <c r="AU41" s="73">
        <v>1</v>
      </c>
      <c r="AV41" s="73">
        <v>0</v>
      </c>
      <c r="AW41" s="73">
        <v>0</v>
      </c>
      <c r="AX41" s="73">
        <v>6</v>
      </c>
      <c r="AY41" s="73">
        <v>19</v>
      </c>
      <c r="AZ41" s="73">
        <v>31</v>
      </c>
      <c r="BA41" s="73">
        <v>39</v>
      </c>
      <c r="BB41" s="79">
        <f t="shared" si="0"/>
        <v>216.5</v>
      </c>
      <c r="BC41" s="80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9"/>
    </row>
    <row r="42" spans="1:67" x14ac:dyDescent="0.3">
      <c r="A42" s="74" t="s">
        <v>108</v>
      </c>
      <c r="B42" s="85" t="s">
        <v>123</v>
      </c>
      <c r="C42" s="80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9">
        <f>'Seznam OM'!M45</f>
        <v>0</v>
      </c>
      <c r="P42" s="80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9">
        <f>'Seznam OM'!N45</f>
        <v>0</v>
      </c>
      <c r="AC42" s="80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81"/>
      <c r="AP42" s="80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9">
        <f t="shared" si="0"/>
        <v>0</v>
      </c>
      <c r="BC42" s="80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9"/>
    </row>
    <row r="43" spans="1:67" x14ac:dyDescent="0.3">
      <c r="A43" s="105" t="s">
        <v>108</v>
      </c>
      <c r="B43" s="98" t="s">
        <v>125</v>
      </c>
      <c r="C43" s="80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9">
        <f>'Seznam OM'!M46</f>
        <v>0</v>
      </c>
      <c r="P43" s="80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9">
        <f>'Seznam OM'!N46</f>
        <v>0</v>
      </c>
      <c r="AC43" s="80">
        <v>19</v>
      </c>
      <c r="AD43" s="73">
        <v>13</v>
      </c>
      <c r="AE43" s="73">
        <v>11</v>
      </c>
      <c r="AF43" s="73">
        <v>6</v>
      </c>
      <c r="AG43" s="73">
        <v>4</v>
      </c>
      <c r="AH43" s="73">
        <v>0</v>
      </c>
      <c r="AI43" s="73">
        <v>0</v>
      </c>
      <c r="AJ43" s="73">
        <v>0</v>
      </c>
      <c r="AK43" s="73">
        <v>1</v>
      </c>
      <c r="AL43" s="73">
        <v>7</v>
      </c>
      <c r="AM43" s="73">
        <v>12</v>
      </c>
      <c r="AN43" s="73">
        <v>15</v>
      </c>
      <c r="AO43" s="81">
        <v>87</v>
      </c>
      <c r="AP43" s="80">
        <v>17</v>
      </c>
      <c r="AQ43" s="73">
        <v>16</v>
      </c>
      <c r="AR43" s="73">
        <v>14</v>
      </c>
      <c r="AS43" s="73">
        <v>9</v>
      </c>
      <c r="AT43" s="73">
        <v>4</v>
      </c>
      <c r="AU43" s="73">
        <v>1</v>
      </c>
      <c r="AV43" s="73">
        <v>0</v>
      </c>
      <c r="AW43" s="73">
        <v>0</v>
      </c>
      <c r="AX43" s="73">
        <v>1</v>
      </c>
      <c r="AY43" s="73">
        <v>8</v>
      </c>
      <c r="AZ43" s="73">
        <v>12</v>
      </c>
      <c r="BA43" s="73">
        <v>17</v>
      </c>
      <c r="BB43" s="79">
        <f t="shared" si="0"/>
        <v>93.5</v>
      </c>
      <c r="BC43" s="80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9"/>
    </row>
    <row r="44" spans="1:67" x14ac:dyDescent="0.3">
      <c r="A44" s="74" t="s">
        <v>108</v>
      </c>
      <c r="B44" s="85" t="s">
        <v>127</v>
      </c>
      <c r="C44" s="80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9">
        <f>'Seznam OM'!M47</f>
        <v>0</v>
      </c>
      <c r="P44" s="80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9">
        <f>'Seznam OM'!N47</f>
        <v>0</v>
      </c>
      <c r="AC44" s="80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81"/>
      <c r="AP44" s="80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9">
        <f t="shared" si="0"/>
        <v>0</v>
      </c>
      <c r="BC44" s="80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9"/>
    </row>
    <row r="45" spans="1:67" x14ac:dyDescent="0.3">
      <c r="A45" s="74" t="s">
        <v>129</v>
      </c>
      <c r="B45" s="85" t="s">
        <v>130</v>
      </c>
      <c r="C45" s="80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9">
        <f>'Seznam OM'!M48</f>
        <v>34.829000000000001</v>
      </c>
      <c r="P45" s="80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9">
        <f>'Seznam OM'!N48</f>
        <v>0</v>
      </c>
      <c r="AC45" s="80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81">
        <f>'Seznam OM'!O48</f>
        <v>35.612000000000002</v>
      </c>
      <c r="AP45" s="80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9">
        <f t="shared" si="0"/>
        <v>0</v>
      </c>
      <c r="BC45" s="80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9"/>
    </row>
    <row r="46" spans="1:67" x14ac:dyDescent="0.3">
      <c r="A46" s="105" t="s">
        <v>132</v>
      </c>
      <c r="B46" s="98" t="s">
        <v>133</v>
      </c>
      <c r="C46" s="80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9">
        <f>'Seznam OM'!M49</f>
        <v>0</v>
      </c>
      <c r="P46" s="80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9">
        <f>'Seznam OM'!N49</f>
        <v>0</v>
      </c>
      <c r="AC46" s="80">
        <v>10</v>
      </c>
      <c r="AD46" s="73">
        <v>6</v>
      </c>
      <c r="AE46" s="73">
        <v>7</v>
      </c>
      <c r="AF46" s="73">
        <v>4</v>
      </c>
      <c r="AG46" s="73">
        <v>3</v>
      </c>
      <c r="AH46" s="73">
        <v>2</v>
      </c>
      <c r="AI46" s="73">
        <v>1</v>
      </c>
      <c r="AJ46" s="73">
        <v>1</v>
      </c>
      <c r="AK46" s="73">
        <v>2</v>
      </c>
      <c r="AL46" s="73">
        <v>4</v>
      </c>
      <c r="AM46" s="73">
        <v>7</v>
      </c>
      <c r="AN46" s="73">
        <v>8</v>
      </c>
      <c r="AO46" s="81">
        <v>56</v>
      </c>
      <c r="AP46" s="80">
        <v>11</v>
      </c>
      <c r="AQ46" s="73">
        <v>9</v>
      </c>
      <c r="AR46" s="73">
        <v>6</v>
      </c>
      <c r="AS46" s="73">
        <v>5</v>
      </c>
      <c r="AT46" s="73">
        <v>3</v>
      </c>
      <c r="AU46" s="73">
        <v>2</v>
      </c>
      <c r="AV46" s="73">
        <v>1</v>
      </c>
      <c r="AW46" s="73">
        <v>1</v>
      </c>
      <c r="AX46" s="73">
        <v>2</v>
      </c>
      <c r="AY46" s="73">
        <v>4</v>
      </c>
      <c r="AZ46" s="73">
        <v>7</v>
      </c>
      <c r="BA46" s="73">
        <v>8</v>
      </c>
      <c r="BB46" s="79">
        <f t="shared" si="0"/>
        <v>57</v>
      </c>
      <c r="BC46" s="80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9"/>
    </row>
    <row r="47" spans="1:67" x14ac:dyDescent="0.3">
      <c r="A47" s="74" t="s">
        <v>108</v>
      </c>
      <c r="B47" s="85" t="s">
        <v>135</v>
      </c>
      <c r="C47" s="80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9">
        <f>'Seznam OM'!M50</f>
        <v>0</v>
      </c>
      <c r="P47" s="80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9">
        <f>'Seznam OM'!N50</f>
        <v>0</v>
      </c>
      <c r="AC47" s="80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81"/>
      <c r="AP47" s="80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9">
        <f t="shared" si="0"/>
        <v>0</v>
      </c>
      <c r="BC47" s="80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9"/>
    </row>
    <row r="48" spans="1:67" x14ac:dyDescent="0.3">
      <c r="A48" s="74" t="s">
        <v>82</v>
      </c>
      <c r="B48" s="85" t="s">
        <v>137</v>
      </c>
      <c r="C48" s="80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9">
        <f>'Seznam OM'!M51</f>
        <v>0</v>
      </c>
      <c r="P48" s="80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9">
        <f>'Seznam OM'!N51</f>
        <v>0</v>
      </c>
      <c r="AC48" s="80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81"/>
      <c r="AP48" s="80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9">
        <f t="shared" si="0"/>
        <v>0</v>
      </c>
      <c r="BC48" s="80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9"/>
    </row>
    <row r="49" spans="1:67" x14ac:dyDescent="0.3">
      <c r="A49" s="74" t="s">
        <v>108</v>
      </c>
      <c r="B49" s="85" t="s">
        <v>139</v>
      </c>
      <c r="C49" s="80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9">
        <f>'Seznam OM'!M52</f>
        <v>0</v>
      </c>
      <c r="P49" s="80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9">
        <f>'Seznam OM'!N52</f>
        <v>0</v>
      </c>
      <c r="AC49" s="80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81"/>
      <c r="AP49" s="80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9">
        <f t="shared" si="0"/>
        <v>0</v>
      </c>
      <c r="BC49" s="80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9"/>
    </row>
    <row r="50" spans="1:67" x14ac:dyDescent="0.3">
      <c r="A50" s="74" t="s">
        <v>108</v>
      </c>
      <c r="B50" s="85" t="s">
        <v>141</v>
      </c>
      <c r="C50" s="80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9">
        <f>'Seznam OM'!M53</f>
        <v>0</v>
      </c>
      <c r="P50" s="80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9">
        <f>'Seznam OM'!N53</f>
        <v>0</v>
      </c>
      <c r="AC50" s="80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81"/>
      <c r="AP50" s="80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9">
        <f t="shared" si="0"/>
        <v>0</v>
      </c>
      <c r="BC50" s="80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9"/>
    </row>
    <row r="51" spans="1:67" x14ac:dyDescent="0.3">
      <c r="A51" s="74" t="s">
        <v>108</v>
      </c>
      <c r="B51" s="85" t="s">
        <v>143</v>
      </c>
      <c r="C51" s="80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9">
        <f>'Seznam OM'!M54</f>
        <v>0</v>
      </c>
      <c r="P51" s="80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9">
        <f>'Seznam OM'!N54</f>
        <v>0</v>
      </c>
      <c r="AC51" s="80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81"/>
      <c r="AP51" s="80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9">
        <f t="shared" si="0"/>
        <v>0</v>
      </c>
      <c r="BC51" s="80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9"/>
    </row>
    <row r="52" spans="1:67" x14ac:dyDescent="0.3">
      <c r="A52" s="74" t="s">
        <v>108</v>
      </c>
      <c r="B52" s="85" t="s">
        <v>145</v>
      </c>
      <c r="C52" s="80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9">
        <f>'Seznam OM'!M55</f>
        <v>0</v>
      </c>
      <c r="P52" s="80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9">
        <f>'Seznam OM'!N55</f>
        <v>0</v>
      </c>
      <c r="AC52" s="80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81"/>
      <c r="AP52" s="80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9">
        <f t="shared" si="0"/>
        <v>0</v>
      </c>
      <c r="BC52" s="80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9"/>
    </row>
    <row r="53" spans="1:67" x14ac:dyDescent="0.3">
      <c r="A53" s="105" t="s">
        <v>147</v>
      </c>
      <c r="B53" s="98" t="s">
        <v>148</v>
      </c>
      <c r="C53" s="80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9">
        <f>'Seznam OM'!M56</f>
        <v>0</v>
      </c>
      <c r="P53" s="80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9">
        <f>'Seznam OM'!N56</f>
        <v>0</v>
      </c>
      <c r="AC53" s="80">
        <v>4</v>
      </c>
      <c r="AD53" s="73">
        <v>3</v>
      </c>
      <c r="AE53" s="73">
        <v>2</v>
      </c>
      <c r="AF53" s="73">
        <v>1</v>
      </c>
      <c r="AG53" s="73">
        <v>1</v>
      </c>
      <c r="AH53" s="73">
        <v>1</v>
      </c>
      <c r="AI53" s="73">
        <v>1</v>
      </c>
      <c r="AJ53" s="73">
        <v>1</v>
      </c>
      <c r="AK53" s="73">
        <v>1</v>
      </c>
      <c r="AL53" s="73">
        <v>2</v>
      </c>
      <c r="AM53" s="73">
        <v>3</v>
      </c>
      <c r="AN53" s="73">
        <v>4</v>
      </c>
      <c r="AO53" s="81">
        <v>20</v>
      </c>
      <c r="AP53" s="80">
        <v>4</v>
      </c>
      <c r="AQ53" s="73">
        <v>4</v>
      </c>
      <c r="AR53" s="73">
        <v>3</v>
      </c>
      <c r="AS53" s="73">
        <v>2</v>
      </c>
      <c r="AT53" s="73">
        <v>1</v>
      </c>
      <c r="AU53" s="73">
        <v>1</v>
      </c>
      <c r="AV53" s="73">
        <v>1</v>
      </c>
      <c r="AW53" s="73">
        <v>1</v>
      </c>
      <c r="AX53" s="73">
        <v>1</v>
      </c>
      <c r="AY53" s="73">
        <v>1</v>
      </c>
      <c r="AZ53" s="73">
        <v>3</v>
      </c>
      <c r="BA53" s="73">
        <v>4</v>
      </c>
      <c r="BB53" s="79">
        <f t="shared" si="0"/>
        <v>25</v>
      </c>
      <c r="BC53" s="80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73"/>
      <c r="BO53" s="79"/>
    </row>
    <row r="54" spans="1:67" x14ac:dyDescent="0.3">
      <c r="A54" s="74" t="s">
        <v>108</v>
      </c>
      <c r="B54" s="85" t="s">
        <v>150</v>
      </c>
      <c r="C54" s="80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9">
        <f>'Seznam OM'!M57</f>
        <v>0</v>
      </c>
      <c r="P54" s="80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9">
        <f>'Seznam OM'!N57</f>
        <v>0</v>
      </c>
      <c r="AC54" s="80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81"/>
      <c r="AP54" s="80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9">
        <f t="shared" si="0"/>
        <v>0</v>
      </c>
      <c r="BC54" s="80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9"/>
    </row>
    <row r="55" spans="1:67" x14ac:dyDescent="0.3">
      <c r="A55" s="74" t="s">
        <v>108</v>
      </c>
      <c r="B55" s="85" t="s">
        <v>152</v>
      </c>
      <c r="C55" s="80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9">
        <f>'Seznam OM'!M58</f>
        <v>0</v>
      </c>
      <c r="P55" s="80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9">
        <f>'Seznam OM'!N58</f>
        <v>0</v>
      </c>
      <c r="AC55" s="80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81"/>
      <c r="AP55" s="80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9">
        <f t="shared" si="0"/>
        <v>0</v>
      </c>
      <c r="BC55" s="80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9"/>
    </row>
    <row r="56" spans="1:67" x14ac:dyDescent="0.3">
      <c r="A56" s="74" t="s">
        <v>132</v>
      </c>
      <c r="B56" s="85" t="s">
        <v>154</v>
      </c>
      <c r="C56" s="80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9">
        <f>'Seznam OM'!M59</f>
        <v>0</v>
      </c>
      <c r="P56" s="80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9">
        <f>'Seznam OM'!N59</f>
        <v>0</v>
      </c>
      <c r="AC56" s="80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81"/>
      <c r="AP56" s="80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9">
        <f t="shared" si="0"/>
        <v>0</v>
      </c>
      <c r="BC56" s="80"/>
      <c r="BD56" s="73"/>
      <c r="BE56" s="73"/>
      <c r="BF56" s="73"/>
      <c r="BG56" s="73"/>
      <c r="BH56" s="73"/>
      <c r="BI56" s="73"/>
      <c r="BJ56" s="73"/>
      <c r="BK56" s="73"/>
      <c r="BL56" s="73"/>
      <c r="BM56" s="73"/>
      <c r="BN56" s="73"/>
      <c r="BO56" s="79"/>
    </row>
    <row r="57" spans="1:67" x14ac:dyDescent="0.3">
      <c r="A57" s="74" t="s">
        <v>82</v>
      </c>
      <c r="B57" s="85" t="s">
        <v>156</v>
      </c>
      <c r="C57" s="80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9">
        <f>'Seznam OM'!M60</f>
        <v>0</v>
      </c>
      <c r="P57" s="80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9">
        <f>'Seznam OM'!N60</f>
        <v>0</v>
      </c>
      <c r="AC57" s="80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81"/>
      <c r="AP57" s="80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9">
        <f t="shared" si="0"/>
        <v>0</v>
      </c>
      <c r="BC57" s="80"/>
      <c r="BD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79"/>
    </row>
    <row r="58" spans="1:67" x14ac:dyDescent="0.3">
      <c r="A58" s="74" t="s">
        <v>108</v>
      </c>
      <c r="B58" s="85" t="s">
        <v>158</v>
      </c>
      <c r="C58" s="80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9">
        <f>'Seznam OM'!M61</f>
        <v>0</v>
      </c>
      <c r="P58" s="80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9">
        <f>'Seznam OM'!N61</f>
        <v>0</v>
      </c>
      <c r="AC58" s="80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81"/>
      <c r="AP58" s="80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9">
        <f t="shared" si="0"/>
        <v>0</v>
      </c>
      <c r="BC58" s="80"/>
      <c r="BD58" s="73"/>
      <c r="BE58" s="73"/>
      <c r="BF58" s="73"/>
      <c r="BG58" s="73"/>
      <c r="BH58" s="73"/>
      <c r="BI58" s="73"/>
      <c r="BJ58" s="73"/>
      <c r="BK58" s="73"/>
      <c r="BL58" s="73"/>
      <c r="BM58" s="73"/>
      <c r="BN58" s="73"/>
      <c r="BO58" s="79"/>
    </row>
    <row r="59" spans="1:67" x14ac:dyDescent="0.3">
      <c r="A59" s="74" t="s">
        <v>108</v>
      </c>
      <c r="B59" s="85" t="s">
        <v>160</v>
      </c>
      <c r="C59" s="80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9">
        <f>'Seznam OM'!M62</f>
        <v>0</v>
      </c>
      <c r="P59" s="80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9">
        <f>'Seznam OM'!N62</f>
        <v>0</v>
      </c>
      <c r="AC59" s="80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81"/>
      <c r="AP59" s="80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9">
        <f t="shared" si="0"/>
        <v>0</v>
      </c>
      <c r="BC59" s="80"/>
      <c r="BD59" s="73"/>
      <c r="BE59" s="73"/>
      <c r="BF59" s="73"/>
      <c r="BG59" s="73"/>
      <c r="BH59" s="73"/>
      <c r="BI59" s="73"/>
      <c r="BJ59" s="73"/>
      <c r="BK59" s="73"/>
      <c r="BL59" s="73"/>
      <c r="BM59" s="73"/>
      <c r="BN59" s="73"/>
      <c r="BO59" s="79"/>
    </row>
    <row r="60" spans="1:67" x14ac:dyDescent="0.3">
      <c r="A60" s="74" t="s">
        <v>108</v>
      </c>
      <c r="B60" s="85" t="s">
        <v>162</v>
      </c>
      <c r="C60" s="80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9">
        <f>'Seznam OM'!M63</f>
        <v>0</v>
      </c>
      <c r="P60" s="80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9">
        <f>'Seznam OM'!N63</f>
        <v>0</v>
      </c>
      <c r="AC60" s="80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81"/>
      <c r="AP60" s="80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9">
        <f t="shared" si="0"/>
        <v>0</v>
      </c>
      <c r="BC60" s="80"/>
      <c r="BD60" s="73"/>
      <c r="BE60" s="73"/>
      <c r="BF60" s="73"/>
      <c r="BG60" s="73"/>
      <c r="BH60" s="73"/>
      <c r="BI60" s="73"/>
      <c r="BJ60" s="73"/>
      <c r="BK60" s="73"/>
      <c r="BL60" s="73"/>
      <c r="BM60" s="73"/>
      <c r="BN60" s="73"/>
      <c r="BO60" s="79"/>
    </row>
    <row r="61" spans="1:67" x14ac:dyDescent="0.3">
      <c r="A61" s="74" t="s">
        <v>108</v>
      </c>
      <c r="B61" s="85" t="s">
        <v>164</v>
      </c>
      <c r="C61" s="80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9">
        <f>'Seznam OM'!M64</f>
        <v>0</v>
      </c>
      <c r="P61" s="80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9">
        <f>'Seznam OM'!N64</f>
        <v>0</v>
      </c>
      <c r="AC61" s="80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81"/>
      <c r="AP61" s="80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9">
        <f t="shared" si="0"/>
        <v>0</v>
      </c>
      <c r="BC61" s="80"/>
      <c r="BD61" s="73"/>
      <c r="BE61" s="73"/>
      <c r="BF61" s="73"/>
      <c r="BG61" s="73"/>
      <c r="BH61" s="73"/>
      <c r="BI61" s="73"/>
      <c r="BJ61" s="73"/>
      <c r="BK61" s="73"/>
      <c r="BL61" s="73"/>
      <c r="BM61" s="73"/>
      <c r="BN61" s="73"/>
      <c r="BO61" s="79"/>
    </row>
    <row r="62" spans="1:67" x14ac:dyDescent="0.3">
      <c r="A62" s="74" t="s">
        <v>108</v>
      </c>
      <c r="B62" s="85" t="s">
        <v>166</v>
      </c>
      <c r="C62" s="80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9">
        <f>'Seznam OM'!M65</f>
        <v>0</v>
      </c>
      <c r="P62" s="80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9">
        <f>'Seznam OM'!N65</f>
        <v>0</v>
      </c>
      <c r="AC62" s="80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81"/>
      <c r="AP62" s="80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9">
        <f t="shared" si="0"/>
        <v>0</v>
      </c>
      <c r="BC62" s="80"/>
      <c r="BD62" s="73"/>
      <c r="BE62" s="73"/>
      <c r="BF62" s="73"/>
      <c r="BG62" s="73"/>
      <c r="BH62" s="73"/>
      <c r="BI62" s="73"/>
      <c r="BJ62" s="73"/>
      <c r="BK62" s="73"/>
      <c r="BL62" s="73"/>
      <c r="BM62" s="73"/>
      <c r="BN62" s="73"/>
      <c r="BO62" s="79"/>
    </row>
    <row r="63" spans="1:67" x14ac:dyDescent="0.3">
      <c r="A63" s="74" t="s">
        <v>108</v>
      </c>
      <c r="B63" s="85" t="s">
        <v>168</v>
      </c>
      <c r="C63" s="80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9">
        <f>'Seznam OM'!M66</f>
        <v>0</v>
      </c>
      <c r="P63" s="80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9">
        <f>'Seznam OM'!N66</f>
        <v>0</v>
      </c>
      <c r="AC63" s="80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81"/>
      <c r="AP63" s="80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9">
        <f t="shared" si="0"/>
        <v>0</v>
      </c>
      <c r="BC63" s="80"/>
      <c r="BD63" s="73"/>
      <c r="BE63" s="73"/>
      <c r="BF63" s="73"/>
      <c r="BG63" s="73"/>
      <c r="BH63" s="73"/>
      <c r="BI63" s="73"/>
      <c r="BJ63" s="73"/>
      <c r="BK63" s="73"/>
      <c r="BL63" s="73"/>
      <c r="BM63" s="73"/>
      <c r="BN63" s="73"/>
      <c r="BO63" s="79"/>
    </row>
    <row r="64" spans="1:67" x14ac:dyDescent="0.3">
      <c r="A64" s="74" t="s">
        <v>108</v>
      </c>
      <c r="B64" s="85" t="s">
        <v>170</v>
      </c>
      <c r="C64" s="80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9">
        <f>'Seznam OM'!M67</f>
        <v>0</v>
      </c>
      <c r="P64" s="80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9">
        <f>'Seznam OM'!N67</f>
        <v>0</v>
      </c>
      <c r="AC64" s="80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81"/>
      <c r="AP64" s="80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9">
        <f t="shared" si="0"/>
        <v>0</v>
      </c>
      <c r="BC64" s="80"/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9"/>
    </row>
    <row r="65" spans="1:67" x14ac:dyDescent="0.3">
      <c r="A65" s="74" t="s">
        <v>108</v>
      </c>
      <c r="B65" s="85" t="s">
        <v>172</v>
      </c>
      <c r="C65" s="80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9">
        <f>'Seznam OM'!M68</f>
        <v>0</v>
      </c>
      <c r="P65" s="80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9">
        <f>'Seznam OM'!N68</f>
        <v>0</v>
      </c>
      <c r="AC65" s="80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81"/>
      <c r="AP65" s="80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9">
        <f t="shared" si="0"/>
        <v>0</v>
      </c>
      <c r="BC65" s="80"/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9"/>
    </row>
    <row r="66" spans="1:67" x14ac:dyDescent="0.3">
      <c r="A66" s="74" t="s">
        <v>44</v>
      </c>
      <c r="B66" s="87" t="s">
        <v>174</v>
      </c>
      <c r="C66" s="80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9">
        <f>'Seznam OM'!M69</f>
        <v>0</v>
      </c>
      <c r="P66" s="80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9">
        <f>'Seznam OM'!N69</f>
        <v>0</v>
      </c>
      <c r="AC66" s="80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81"/>
      <c r="AP66" s="80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9">
        <f t="shared" si="0"/>
        <v>0</v>
      </c>
      <c r="BC66" s="80"/>
      <c r="BD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9"/>
    </row>
    <row r="67" spans="1:67" x14ac:dyDescent="0.3">
      <c r="A67" s="74" t="s">
        <v>108</v>
      </c>
      <c r="B67" s="85" t="s">
        <v>176</v>
      </c>
      <c r="C67" s="80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9">
        <f>'Seznam OM'!M70</f>
        <v>0</v>
      </c>
      <c r="P67" s="80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9">
        <f>'Seznam OM'!N70</f>
        <v>0</v>
      </c>
      <c r="AC67" s="80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81"/>
      <c r="AP67" s="80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9">
        <f t="shared" si="0"/>
        <v>0</v>
      </c>
      <c r="BC67" s="80"/>
      <c r="BD67" s="73"/>
      <c r="BE67" s="73"/>
      <c r="BF67" s="73"/>
      <c r="BG67" s="73"/>
      <c r="BH67" s="73"/>
      <c r="BI67" s="73"/>
      <c r="BJ67" s="73"/>
      <c r="BK67" s="73"/>
      <c r="BL67" s="73"/>
      <c r="BM67" s="73"/>
      <c r="BN67" s="73"/>
      <c r="BO67" s="79"/>
    </row>
    <row r="68" spans="1:67" x14ac:dyDescent="0.3">
      <c r="A68" s="74" t="s">
        <v>44</v>
      </c>
      <c r="B68" s="87" t="s">
        <v>178</v>
      </c>
      <c r="C68" s="80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9">
        <f>'Seznam OM'!M71</f>
        <v>0</v>
      </c>
      <c r="P68" s="80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9">
        <f>'Seznam OM'!N71</f>
        <v>0</v>
      </c>
      <c r="AC68" s="80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81"/>
      <c r="AP68" s="80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9">
        <f t="shared" si="0"/>
        <v>0</v>
      </c>
      <c r="BC68" s="80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9"/>
    </row>
    <row r="69" spans="1:67" x14ac:dyDescent="0.3">
      <c r="A69" s="74" t="s">
        <v>108</v>
      </c>
      <c r="B69" s="85" t="s">
        <v>180</v>
      </c>
      <c r="C69" s="80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9">
        <f>'Seznam OM'!M72</f>
        <v>0</v>
      </c>
      <c r="P69" s="80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9">
        <f>'Seznam OM'!N72</f>
        <v>0</v>
      </c>
      <c r="AC69" s="80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81"/>
      <c r="AP69" s="80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9">
        <f t="shared" ref="BB69:BB95" si="1">(SUM(AP69:BA69)+SUM(AC69:AN69))/2</f>
        <v>0</v>
      </c>
      <c r="BC69" s="80"/>
      <c r="BD69" s="73"/>
      <c r="BE69" s="73"/>
      <c r="BF69" s="73"/>
      <c r="BG69" s="73"/>
      <c r="BH69" s="73"/>
      <c r="BI69" s="73"/>
      <c r="BJ69" s="73"/>
      <c r="BK69" s="73"/>
      <c r="BL69" s="73"/>
      <c r="BM69" s="73"/>
      <c r="BN69" s="73"/>
      <c r="BO69" s="79"/>
    </row>
    <row r="70" spans="1:67" x14ac:dyDescent="0.3">
      <c r="A70" s="74" t="s">
        <v>108</v>
      </c>
      <c r="B70" s="85" t="s">
        <v>182</v>
      </c>
      <c r="C70" s="80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9">
        <f>'Seznam OM'!M73</f>
        <v>0</v>
      </c>
      <c r="P70" s="80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9">
        <f>'Seznam OM'!N73</f>
        <v>0</v>
      </c>
      <c r="AC70" s="80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81"/>
      <c r="AP70" s="80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9">
        <f t="shared" si="1"/>
        <v>0</v>
      </c>
      <c r="BC70" s="80"/>
      <c r="BD70" s="73"/>
      <c r="BE70" s="73"/>
      <c r="BF70" s="73"/>
      <c r="BG70" s="73"/>
      <c r="BH70" s="73"/>
      <c r="BI70" s="73"/>
      <c r="BJ70" s="73"/>
      <c r="BK70" s="73"/>
      <c r="BL70" s="73"/>
      <c r="BM70" s="73"/>
      <c r="BN70" s="73"/>
      <c r="BO70" s="79"/>
    </row>
    <row r="71" spans="1:67" x14ac:dyDescent="0.3">
      <c r="A71" s="74" t="s">
        <v>108</v>
      </c>
      <c r="B71" s="85" t="s">
        <v>184</v>
      </c>
      <c r="C71" s="80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9">
        <f>'Seznam OM'!M74</f>
        <v>0</v>
      </c>
      <c r="P71" s="80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9">
        <f>'Seznam OM'!N74</f>
        <v>0</v>
      </c>
      <c r="AC71" s="80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81"/>
      <c r="AP71" s="80"/>
      <c r="AQ71" s="73"/>
      <c r="AR71" s="73"/>
      <c r="AS71" s="73"/>
      <c r="AT71" s="73"/>
      <c r="AU71" s="73"/>
      <c r="AV71" s="73"/>
      <c r="AW71" s="73"/>
      <c r="AX71" s="73"/>
      <c r="AY71" s="73"/>
      <c r="AZ71" s="73"/>
      <c r="BA71" s="73"/>
      <c r="BB71" s="79">
        <f t="shared" si="1"/>
        <v>0</v>
      </c>
      <c r="BC71" s="80"/>
      <c r="BD71" s="73"/>
      <c r="BE71" s="73"/>
      <c r="BF71" s="73"/>
      <c r="BG71" s="73"/>
      <c r="BH71" s="73"/>
      <c r="BI71" s="73"/>
      <c r="BJ71" s="73"/>
      <c r="BK71" s="73"/>
      <c r="BL71" s="73"/>
      <c r="BM71" s="73"/>
      <c r="BN71" s="73"/>
      <c r="BO71" s="79"/>
    </row>
    <row r="72" spans="1:67" x14ac:dyDescent="0.3">
      <c r="A72" s="74" t="s">
        <v>108</v>
      </c>
      <c r="B72" s="85" t="s">
        <v>186</v>
      </c>
      <c r="C72" s="80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9">
        <f>'Seznam OM'!M75</f>
        <v>0</v>
      </c>
      <c r="P72" s="80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9">
        <f>'Seznam OM'!N75</f>
        <v>0</v>
      </c>
      <c r="AC72" s="80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81"/>
      <c r="AP72" s="80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79">
        <f t="shared" si="1"/>
        <v>0</v>
      </c>
      <c r="BC72" s="80"/>
      <c r="BD72" s="73"/>
      <c r="BE72" s="73"/>
      <c r="BF72" s="73"/>
      <c r="BG72" s="73"/>
      <c r="BH72" s="73"/>
      <c r="BI72" s="73"/>
      <c r="BJ72" s="73"/>
      <c r="BK72" s="73"/>
      <c r="BL72" s="73"/>
      <c r="BM72" s="73"/>
      <c r="BN72" s="73"/>
      <c r="BO72" s="79"/>
    </row>
    <row r="73" spans="1:67" x14ac:dyDescent="0.3">
      <c r="A73" s="74" t="s">
        <v>44</v>
      </c>
      <c r="B73" s="87" t="s">
        <v>188</v>
      </c>
      <c r="C73" s="80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9">
        <f>'Seznam OM'!M76</f>
        <v>0</v>
      </c>
      <c r="P73" s="80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9">
        <f>'Seznam OM'!N76</f>
        <v>0</v>
      </c>
      <c r="AC73" s="80"/>
      <c r="AD73" s="73"/>
      <c r="AE73" s="73"/>
      <c r="AF73" s="73"/>
      <c r="AG73" s="73"/>
      <c r="AH73" s="73"/>
      <c r="AI73" s="73"/>
      <c r="AJ73" s="73"/>
      <c r="AK73" s="73"/>
      <c r="AL73" s="73"/>
      <c r="AM73" s="73"/>
      <c r="AN73" s="73"/>
      <c r="AO73" s="81"/>
      <c r="AP73" s="80"/>
      <c r="AQ73" s="73"/>
      <c r="AR73" s="73"/>
      <c r="AS73" s="73"/>
      <c r="AT73" s="73"/>
      <c r="AU73" s="73"/>
      <c r="AV73" s="73"/>
      <c r="AW73" s="73"/>
      <c r="AX73" s="73"/>
      <c r="AY73" s="73"/>
      <c r="AZ73" s="73"/>
      <c r="BA73" s="73"/>
      <c r="BB73" s="79">
        <f t="shared" si="1"/>
        <v>0</v>
      </c>
      <c r="BC73" s="80"/>
      <c r="BD73" s="73"/>
      <c r="BE73" s="73"/>
      <c r="BF73" s="73"/>
      <c r="BG73" s="73"/>
      <c r="BH73" s="73"/>
      <c r="BI73" s="73"/>
      <c r="BJ73" s="73"/>
      <c r="BK73" s="73"/>
      <c r="BL73" s="73"/>
      <c r="BM73" s="73"/>
      <c r="BN73" s="73"/>
      <c r="BO73" s="79"/>
    </row>
    <row r="74" spans="1:67" x14ac:dyDescent="0.3">
      <c r="A74" s="74" t="s">
        <v>44</v>
      </c>
      <c r="B74" s="87" t="s">
        <v>190</v>
      </c>
      <c r="C74" s="80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9">
        <f>'Seznam OM'!M77</f>
        <v>0</v>
      </c>
      <c r="P74" s="80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9">
        <f>'Seznam OM'!N77</f>
        <v>0</v>
      </c>
      <c r="AC74" s="80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81"/>
      <c r="AP74" s="80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9">
        <f t="shared" si="1"/>
        <v>0</v>
      </c>
      <c r="BC74" s="80"/>
      <c r="BD74" s="73"/>
      <c r="BE74" s="73"/>
      <c r="BF74" s="73"/>
      <c r="BG74" s="73"/>
      <c r="BH74" s="73"/>
      <c r="BI74" s="73"/>
      <c r="BJ74" s="73"/>
      <c r="BK74" s="73"/>
      <c r="BL74" s="73"/>
      <c r="BM74" s="73"/>
      <c r="BN74" s="73"/>
      <c r="BO74" s="79"/>
    </row>
    <row r="75" spans="1:67" x14ac:dyDescent="0.3">
      <c r="A75" s="74" t="s">
        <v>108</v>
      </c>
      <c r="B75" s="85" t="s">
        <v>192</v>
      </c>
      <c r="C75" s="80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9">
        <f>'Seznam OM'!M78</f>
        <v>0</v>
      </c>
      <c r="P75" s="80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9">
        <f>'Seznam OM'!N78</f>
        <v>0</v>
      </c>
      <c r="AC75" s="80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81"/>
      <c r="AP75" s="80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9">
        <f t="shared" si="1"/>
        <v>0</v>
      </c>
      <c r="BC75" s="80"/>
      <c r="BD75" s="73"/>
      <c r="BE75" s="73"/>
      <c r="BF75" s="73"/>
      <c r="BG75" s="73"/>
      <c r="BH75" s="73"/>
      <c r="BI75" s="73"/>
      <c r="BJ75" s="73"/>
      <c r="BK75" s="73"/>
      <c r="BL75" s="73"/>
      <c r="BM75" s="73"/>
      <c r="BN75" s="73"/>
      <c r="BO75" s="79"/>
    </row>
    <row r="76" spans="1:67" x14ac:dyDescent="0.3">
      <c r="A76" s="74" t="s">
        <v>44</v>
      </c>
      <c r="B76" s="87" t="s">
        <v>194</v>
      </c>
      <c r="C76" s="80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9">
        <f>'Seznam OM'!M79</f>
        <v>0</v>
      </c>
      <c r="P76" s="80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9">
        <f>'Seznam OM'!N79</f>
        <v>0</v>
      </c>
      <c r="AC76" s="80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81"/>
      <c r="AP76" s="80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79">
        <f t="shared" si="1"/>
        <v>0</v>
      </c>
      <c r="BC76" s="80"/>
      <c r="BD76" s="73"/>
      <c r="BE76" s="73"/>
      <c r="BF76" s="73"/>
      <c r="BG76" s="73"/>
      <c r="BH76" s="73"/>
      <c r="BI76" s="73"/>
      <c r="BJ76" s="73"/>
      <c r="BK76" s="73"/>
      <c r="BL76" s="73"/>
      <c r="BM76" s="73"/>
      <c r="BN76" s="73"/>
      <c r="BO76" s="79"/>
    </row>
    <row r="77" spans="1:67" x14ac:dyDescent="0.3">
      <c r="A77" s="74" t="s">
        <v>44</v>
      </c>
      <c r="B77" s="87" t="s">
        <v>196</v>
      </c>
      <c r="C77" s="80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9">
        <f>'Seznam OM'!M80</f>
        <v>0</v>
      </c>
      <c r="P77" s="80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9">
        <f>'Seznam OM'!N80</f>
        <v>0</v>
      </c>
      <c r="AC77" s="80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81"/>
      <c r="AP77" s="80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73"/>
      <c r="BB77" s="79">
        <f t="shared" si="1"/>
        <v>0</v>
      </c>
      <c r="BC77" s="80"/>
      <c r="BD77" s="73"/>
      <c r="BE77" s="73"/>
      <c r="BF77" s="73"/>
      <c r="BG77" s="73"/>
      <c r="BH77" s="73"/>
      <c r="BI77" s="73"/>
      <c r="BJ77" s="73"/>
      <c r="BK77" s="73"/>
      <c r="BL77" s="73"/>
      <c r="BM77" s="73"/>
      <c r="BN77" s="73"/>
      <c r="BO77" s="79"/>
    </row>
    <row r="78" spans="1:67" x14ac:dyDescent="0.3">
      <c r="A78" s="74" t="s">
        <v>44</v>
      </c>
      <c r="B78" s="87" t="s">
        <v>198</v>
      </c>
      <c r="C78" s="80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9">
        <f>'Seznam OM'!M81</f>
        <v>0</v>
      </c>
      <c r="P78" s="80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9">
        <f>'Seznam OM'!N81</f>
        <v>0</v>
      </c>
      <c r="AC78" s="80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81"/>
      <c r="AP78" s="80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9">
        <f t="shared" si="1"/>
        <v>0</v>
      </c>
      <c r="BC78" s="80"/>
      <c r="BD78" s="73"/>
      <c r="BE78" s="73"/>
      <c r="BF78" s="73"/>
      <c r="BG78" s="73"/>
      <c r="BH78" s="73"/>
      <c r="BI78" s="73"/>
      <c r="BJ78" s="73"/>
      <c r="BK78" s="73"/>
      <c r="BL78" s="73"/>
      <c r="BM78" s="73"/>
      <c r="BN78" s="73"/>
      <c r="BO78" s="79"/>
    </row>
    <row r="79" spans="1:67" x14ac:dyDescent="0.3">
      <c r="A79" s="74" t="s">
        <v>44</v>
      </c>
      <c r="B79" s="87" t="s">
        <v>200</v>
      </c>
      <c r="C79" s="80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9">
        <f>'Seznam OM'!M82</f>
        <v>0</v>
      </c>
      <c r="P79" s="80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9">
        <f>'Seznam OM'!N82</f>
        <v>0</v>
      </c>
      <c r="AC79" s="80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81"/>
      <c r="AP79" s="80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9">
        <f t="shared" si="1"/>
        <v>0</v>
      </c>
      <c r="BC79" s="80"/>
      <c r="BD79" s="73"/>
      <c r="BE79" s="73"/>
      <c r="BF79" s="73"/>
      <c r="BG79" s="73"/>
      <c r="BH79" s="73"/>
      <c r="BI79" s="73"/>
      <c r="BJ79" s="73"/>
      <c r="BK79" s="73"/>
      <c r="BL79" s="73"/>
      <c r="BM79" s="73"/>
      <c r="BN79" s="73"/>
      <c r="BO79" s="79"/>
    </row>
    <row r="80" spans="1:67" x14ac:dyDescent="0.3">
      <c r="A80" s="74" t="s">
        <v>44</v>
      </c>
      <c r="B80" s="87" t="s">
        <v>202</v>
      </c>
      <c r="C80" s="80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9">
        <f>'Seznam OM'!M83</f>
        <v>0</v>
      </c>
      <c r="P80" s="80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9">
        <f>'Seznam OM'!N83</f>
        <v>0</v>
      </c>
      <c r="AC80" s="80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81"/>
      <c r="AP80" s="80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9">
        <f t="shared" si="1"/>
        <v>0</v>
      </c>
      <c r="BC80" s="80"/>
      <c r="BD80" s="73"/>
      <c r="BE80" s="73"/>
      <c r="BF80" s="73"/>
      <c r="BG80" s="73"/>
      <c r="BH80" s="73"/>
      <c r="BI80" s="73"/>
      <c r="BJ80" s="73"/>
      <c r="BK80" s="73"/>
      <c r="BL80" s="73"/>
      <c r="BM80" s="73"/>
      <c r="BN80" s="73"/>
      <c r="BO80" s="79"/>
    </row>
    <row r="81" spans="1:67" x14ac:dyDescent="0.3">
      <c r="A81" s="74" t="s">
        <v>108</v>
      </c>
      <c r="B81" s="85" t="s">
        <v>204</v>
      </c>
      <c r="C81" s="80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9">
        <f>'Seznam OM'!M84</f>
        <v>0</v>
      </c>
      <c r="P81" s="80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9">
        <f>'Seznam OM'!N84</f>
        <v>0</v>
      </c>
      <c r="AC81" s="80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81"/>
      <c r="AP81" s="80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9">
        <f t="shared" si="1"/>
        <v>0</v>
      </c>
      <c r="BC81" s="80"/>
      <c r="BD81" s="73"/>
      <c r="BE81" s="73"/>
      <c r="BF81" s="73"/>
      <c r="BG81" s="73"/>
      <c r="BH81" s="73"/>
      <c r="BI81" s="73"/>
      <c r="BJ81" s="73"/>
      <c r="BK81" s="73"/>
      <c r="BL81" s="73"/>
      <c r="BM81" s="73"/>
      <c r="BN81" s="73"/>
      <c r="BO81" s="79"/>
    </row>
    <row r="82" spans="1:67" x14ac:dyDescent="0.3">
      <c r="A82" s="74" t="s">
        <v>108</v>
      </c>
      <c r="B82" s="85" t="s">
        <v>206</v>
      </c>
      <c r="C82" s="80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9">
        <f>'Seznam OM'!M85</f>
        <v>0</v>
      </c>
      <c r="P82" s="80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9">
        <f>'Seznam OM'!N85</f>
        <v>0</v>
      </c>
      <c r="AC82" s="80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81"/>
      <c r="AP82" s="80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9">
        <f t="shared" si="1"/>
        <v>0</v>
      </c>
      <c r="BC82" s="80"/>
      <c r="BD82" s="73"/>
      <c r="BE82" s="73"/>
      <c r="BF82" s="73"/>
      <c r="BG82" s="73"/>
      <c r="BH82" s="73"/>
      <c r="BI82" s="73"/>
      <c r="BJ82" s="73"/>
      <c r="BK82" s="73"/>
      <c r="BL82" s="73"/>
      <c r="BM82" s="73"/>
      <c r="BN82" s="73"/>
      <c r="BO82" s="79"/>
    </row>
    <row r="83" spans="1:67" x14ac:dyDescent="0.3">
      <c r="A83" s="74" t="s">
        <v>108</v>
      </c>
      <c r="B83" s="85" t="s">
        <v>208</v>
      </c>
      <c r="C83" s="80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9">
        <f>'Seznam OM'!M86</f>
        <v>0</v>
      </c>
      <c r="P83" s="80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9">
        <f>'Seznam OM'!N86</f>
        <v>0</v>
      </c>
      <c r="AC83" s="80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81"/>
      <c r="AP83" s="80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3"/>
      <c r="BB83" s="79">
        <f t="shared" si="1"/>
        <v>0</v>
      </c>
      <c r="BC83" s="80"/>
      <c r="BD83" s="73"/>
      <c r="BE83" s="73"/>
      <c r="BF83" s="73"/>
      <c r="BG83" s="73"/>
      <c r="BH83" s="73"/>
      <c r="BI83" s="73"/>
      <c r="BJ83" s="73"/>
      <c r="BK83" s="73"/>
      <c r="BL83" s="73"/>
      <c r="BM83" s="73"/>
      <c r="BN83" s="73"/>
      <c r="BO83" s="79"/>
    </row>
    <row r="84" spans="1:67" x14ac:dyDescent="0.3">
      <c r="A84" s="74" t="s">
        <v>108</v>
      </c>
      <c r="B84" s="85" t="s">
        <v>210</v>
      </c>
      <c r="C84" s="80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9">
        <f>'Seznam OM'!M87</f>
        <v>0</v>
      </c>
      <c r="P84" s="80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9">
        <f>'Seznam OM'!N87</f>
        <v>0</v>
      </c>
      <c r="AC84" s="80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81"/>
      <c r="AP84" s="80"/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A84" s="73"/>
      <c r="BB84" s="79">
        <f t="shared" si="1"/>
        <v>0</v>
      </c>
      <c r="BC84" s="80"/>
      <c r="BD84" s="73"/>
      <c r="BE84" s="73"/>
      <c r="BF84" s="73"/>
      <c r="BG84" s="73"/>
      <c r="BH84" s="73"/>
      <c r="BI84" s="73"/>
      <c r="BJ84" s="73"/>
      <c r="BK84" s="73"/>
      <c r="BL84" s="73"/>
      <c r="BM84" s="73"/>
      <c r="BN84" s="73"/>
      <c r="BO84" s="79"/>
    </row>
    <row r="85" spans="1:67" x14ac:dyDescent="0.3">
      <c r="A85" s="74" t="s">
        <v>108</v>
      </c>
      <c r="B85" s="85" t="s">
        <v>212</v>
      </c>
      <c r="C85" s="80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9">
        <f>'Seznam OM'!M88</f>
        <v>0</v>
      </c>
      <c r="P85" s="80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9">
        <f>'Seznam OM'!N88</f>
        <v>0</v>
      </c>
      <c r="AC85" s="80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81"/>
      <c r="AP85" s="80"/>
      <c r="AQ85" s="73"/>
      <c r="AR85" s="73"/>
      <c r="AS85" s="73"/>
      <c r="AT85" s="73"/>
      <c r="AU85" s="73"/>
      <c r="AV85" s="73"/>
      <c r="AW85" s="73"/>
      <c r="AX85" s="73"/>
      <c r="AY85" s="73"/>
      <c r="AZ85" s="73"/>
      <c r="BA85" s="73"/>
      <c r="BB85" s="79">
        <f t="shared" si="1"/>
        <v>0</v>
      </c>
      <c r="BC85" s="80"/>
      <c r="BD85" s="73"/>
      <c r="BE85" s="73"/>
      <c r="BF85" s="73"/>
      <c r="BG85" s="73"/>
      <c r="BH85" s="73"/>
      <c r="BI85" s="73"/>
      <c r="BJ85" s="73"/>
      <c r="BK85" s="73"/>
      <c r="BL85" s="73"/>
      <c r="BM85" s="73"/>
      <c r="BN85" s="73"/>
      <c r="BO85" s="79"/>
    </row>
    <row r="86" spans="1:67" x14ac:dyDescent="0.3">
      <c r="A86" s="74" t="s">
        <v>108</v>
      </c>
      <c r="B86" s="85" t="s">
        <v>214</v>
      </c>
      <c r="C86" s="80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9">
        <f>'Seznam OM'!M89</f>
        <v>0</v>
      </c>
      <c r="P86" s="80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9">
        <f>'Seznam OM'!N89</f>
        <v>0</v>
      </c>
      <c r="AC86" s="80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81"/>
      <c r="AP86" s="80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9">
        <f t="shared" si="1"/>
        <v>0</v>
      </c>
      <c r="BC86" s="80"/>
      <c r="BD86" s="73"/>
      <c r="BE86" s="73"/>
      <c r="BF86" s="73"/>
      <c r="BG86" s="73"/>
      <c r="BH86" s="73"/>
      <c r="BI86" s="73"/>
      <c r="BJ86" s="73"/>
      <c r="BK86" s="73"/>
      <c r="BL86" s="73"/>
      <c r="BM86" s="73"/>
      <c r="BN86" s="73"/>
      <c r="BO86" s="79"/>
    </row>
    <row r="87" spans="1:67" x14ac:dyDescent="0.3">
      <c r="A87" s="74" t="s">
        <v>108</v>
      </c>
      <c r="B87" s="85" t="s">
        <v>216</v>
      </c>
      <c r="C87" s="80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9">
        <f>'Seznam OM'!M90</f>
        <v>0</v>
      </c>
      <c r="P87" s="80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9">
        <f>'Seznam OM'!N90</f>
        <v>0</v>
      </c>
      <c r="AC87" s="80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81"/>
      <c r="AP87" s="80"/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A87" s="73"/>
      <c r="BB87" s="79">
        <f t="shared" si="1"/>
        <v>0</v>
      </c>
      <c r="BC87" s="80"/>
      <c r="BD87" s="73"/>
      <c r="BE87" s="73"/>
      <c r="BF87" s="73"/>
      <c r="BG87" s="73"/>
      <c r="BH87" s="73"/>
      <c r="BI87" s="73"/>
      <c r="BJ87" s="73"/>
      <c r="BK87" s="73"/>
      <c r="BL87" s="73"/>
      <c r="BM87" s="73"/>
      <c r="BN87" s="73"/>
      <c r="BO87" s="79"/>
    </row>
    <row r="88" spans="1:67" x14ac:dyDescent="0.3">
      <c r="A88" s="74" t="s">
        <v>108</v>
      </c>
      <c r="B88" s="85" t="s">
        <v>218</v>
      </c>
      <c r="C88" s="80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9">
        <f>'Seznam OM'!M91</f>
        <v>0</v>
      </c>
      <c r="P88" s="80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9">
        <f>'Seznam OM'!N91</f>
        <v>0</v>
      </c>
      <c r="AC88" s="80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81"/>
      <c r="AP88" s="80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3"/>
      <c r="BB88" s="79">
        <f t="shared" si="1"/>
        <v>0</v>
      </c>
      <c r="BC88" s="80"/>
      <c r="BD88" s="73"/>
      <c r="BE88" s="73"/>
      <c r="BF88" s="73"/>
      <c r="BG88" s="73"/>
      <c r="BH88" s="73"/>
      <c r="BI88" s="73"/>
      <c r="BJ88" s="73"/>
      <c r="BK88" s="73"/>
      <c r="BL88" s="73"/>
      <c r="BM88" s="73"/>
      <c r="BN88" s="73"/>
      <c r="BO88" s="79"/>
    </row>
    <row r="89" spans="1:67" x14ac:dyDescent="0.3">
      <c r="A89" s="74" t="s">
        <v>108</v>
      </c>
      <c r="B89" s="85" t="s">
        <v>220</v>
      </c>
      <c r="C89" s="80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9">
        <f>'Seznam OM'!M92</f>
        <v>0</v>
      </c>
      <c r="P89" s="80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9">
        <f>'Seznam OM'!N92</f>
        <v>0</v>
      </c>
      <c r="AC89" s="80"/>
      <c r="AD89" s="73"/>
      <c r="AE89" s="73"/>
      <c r="AF89" s="73"/>
      <c r="AG89" s="73"/>
      <c r="AH89" s="73"/>
      <c r="AI89" s="73"/>
      <c r="AJ89" s="73"/>
      <c r="AK89" s="73"/>
      <c r="AL89" s="73"/>
      <c r="AM89" s="73"/>
      <c r="AN89" s="73"/>
      <c r="AO89" s="81"/>
      <c r="AP89" s="80"/>
      <c r="AQ89" s="73"/>
      <c r="AR89" s="73"/>
      <c r="AS89" s="73"/>
      <c r="AT89" s="73"/>
      <c r="AU89" s="73"/>
      <c r="AV89" s="73"/>
      <c r="AW89" s="73"/>
      <c r="AX89" s="73"/>
      <c r="AY89" s="73"/>
      <c r="AZ89" s="73"/>
      <c r="BA89" s="73"/>
      <c r="BB89" s="79">
        <f t="shared" si="1"/>
        <v>0</v>
      </c>
      <c r="BC89" s="80"/>
      <c r="BD89" s="73"/>
      <c r="BE89" s="73"/>
      <c r="BF89" s="73"/>
      <c r="BG89" s="73"/>
      <c r="BH89" s="73"/>
      <c r="BI89" s="73"/>
      <c r="BJ89" s="73"/>
      <c r="BK89" s="73"/>
      <c r="BL89" s="73"/>
      <c r="BM89" s="73"/>
      <c r="BN89" s="73"/>
      <c r="BO89" s="79"/>
    </row>
    <row r="90" spans="1:67" x14ac:dyDescent="0.3">
      <c r="A90" s="74" t="s">
        <v>108</v>
      </c>
      <c r="B90" s="85" t="s">
        <v>222</v>
      </c>
      <c r="C90" s="80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9">
        <f>'Seznam OM'!M93</f>
        <v>0</v>
      </c>
      <c r="P90" s="80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9">
        <f>'Seznam OM'!N93</f>
        <v>0</v>
      </c>
      <c r="AC90" s="80"/>
      <c r="AD90" s="73"/>
      <c r="AE90" s="73"/>
      <c r="AF90" s="73"/>
      <c r="AG90" s="73"/>
      <c r="AH90" s="73"/>
      <c r="AI90" s="73"/>
      <c r="AJ90" s="73"/>
      <c r="AK90" s="73"/>
      <c r="AL90" s="73"/>
      <c r="AM90" s="73"/>
      <c r="AN90" s="73"/>
      <c r="AO90" s="81"/>
      <c r="AP90" s="80"/>
      <c r="AQ90" s="73"/>
      <c r="AR90" s="73"/>
      <c r="AS90" s="73"/>
      <c r="AT90" s="73"/>
      <c r="AU90" s="73"/>
      <c r="AV90" s="73"/>
      <c r="AW90" s="73"/>
      <c r="AX90" s="73"/>
      <c r="AY90" s="73"/>
      <c r="AZ90" s="73"/>
      <c r="BA90" s="73"/>
      <c r="BB90" s="79">
        <f t="shared" si="1"/>
        <v>0</v>
      </c>
      <c r="BC90" s="80"/>
      <c r="BD90" s="73"/>
      <c r="BE90" s="73"/>
      <c r="BF90" s="73"/>
      <c r="BG90" s="73"/>
      <c r="BH90" s="73"/>
      <c r="BI90" s="73"/>
      <c r="BJ90" s="73"/>
      <c r="BK90" s="73"/>
      <c r="BL90" s="73"/>
      <c r="BM90" s="73"/>
      <c r="BN90" s="73"/>
      <c r="BO90" s="79"/>
    </row>
    <row r="91" spans="1:67" x14ac:dyDescent="0.3">
      <c r="A91" s="74" t="s">
        <v>108</v>
      </c>
      <c r="B91" s="85" t="s">
        <v>224</v>
      </c>
      <c r="C91" s="80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9">
        <f>'Seznam OM'!M94</f>
        <v>0</v>
      </c>
      <c r="P91" s="80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9">
        <f>'Seznam OM'!N94</f>
        <v>0</v>
      </c>
      <c r="AC91" s="80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73"/>
      <c r="AO91" s="81"/>
      <c r="AP91" s="80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9">
        <f t="shared" si="1"/>
        <v>0</v>
      </c>
      <c r="BC91" s="80"/>
      <c r="BD91" s="73"/>
      <c r="BE91" s="73"/>
      <c r="BF91" s="73"/>
      <c r="BG91" s="73"/>
      <c r="BH91" s="73"/>
      <c r="BI91" s="73"/>
      <c r="BJ91" s="73"/>
      <c r="BK91" s="73"/>
      <c r="BL91" s="73"/>
      <c r="BM91" s="73"/>
      <c r="BN91" s="73"/>
      <c r="BO91" s="79"/>
    </row>
    <row r="92" spans="1:67" x14ac:dyDescent="0.3">
      <c r="A92" s="74" t="s">
        <v>108</v>
      </c>
      <c r="B92" s="85" t="s">
        <v>226</v>
      </c>
      <c r="C92" s="80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9">
        <f>'Seznam OM'!M95</f>
        <v>0</v>
      </c>
      <c r="P92" s="80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9">
        <f>'Seznam OM'!N95</f>
        <v>0</v>
      </c>
      <c r="AC92" s="80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81"/>
      <c r="AP92" s="80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9">
        <f t="shared" si="1"/>
        <v>0</v>
      </c>
      <c r="BC92" s="80"/>
      <c r="BD92" s="73"/>
      <c r="BE92" s="73"/>
      <c r="BF92" s="73"/>
      <c r="BG92" s="73"/>
      <c r="BH92" s="73"/>
      <c r="BI92" s="73"/>
      <c r="BJ92" s="73"/>
      <c r="BK92" s="73"/>
      <c r="BL92" s="73"/>
      <c r="BM92" s="73"/>
      <c r="BN92" s="73"/>
      <c r="BO92" s="79"/>
    </row>
    <row r="93" spans="1:67" x14ac:dyDescent="0.3">
      <c r="A93" s="74" t="s">
        <v>108</v>
      </c>
      <c r="B93" s="85" t="s">
        <v>228</v>
      </c>
      <c r="C93" s="80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81"/>
      <c r="P93" s="80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81"/>
      <c r="AC93" s="80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81"/>
      <c r="AP93" s="80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73"/>
      <c r="BB93" s="79">
        <f t="shared" si="1"/>
        <v>0</v>
      </c>
      <c r="BC93" s="80"/>
      <c r="BD93" s="73"/>
      <c r="BE93" s="73"/>
      <c r="BF93" s="73"/>
      <c r="BG93" s="73"/>
      <c r="BH93" s="73"/>
      <c r="BI93" s="73"/>
      <c r="BJ93" s="73"/>
      <c r="BK93" s="73"/>
      <c r="BL93" s="73"/>
      <c r="BM93" s="73"/>
      <c r="BN93" s="73"/>
      <c r="BO93" s="79"/>
    </row>
    <row r="94" spans="1:67" x14ac:dyDescent="0.3">
      <c r="A94" s="74" t="s">
        <v>44</v>
      </c>
      <c r="B94" s="85" t="s">
        <v>230</v>
      </c>
      <c r="C94" s="80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81"/>
      <c r="P94" s="80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81"/>
      <c r="AC94" s="80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81"/>
      <c r="AP94" s="80"/>
      <c r="AQ94" s="73"/>
      <c r="AR94" s="73"/>
      <c r="AS94" s="73"/>
      <c r="AT94" s="73"/>
      <c r="AU94" s="73"/>
      <c r="AV94" s="73"/>
      <c r="AW94" s="73"/>
      <c r="AX94" s="73"/>
      <c r="AY94" s="73"/>
      <c r="AZ94" s="73"/>
      <c r="BA94" s="73"/>
      <c r="BB94" s="79">
        <f t="shared" si="1"/>
        <v>0</v>
      </c>
      <c r="BC94" s="80"/>
      <c r="BD94" s="73"/>
      <c r="BE94" s="73"/>
      <c r="BF94" s="73"/>
      <c r="BG94" s="73"/>
      <c r="BH94" s="73"/>
      <c r="BI94" s="73"/>
      <c r="BJ94" s="73"/>
      <c r="BK94" s="73"/>
      <c r="BL94" s="73"/>
      <c r="BM94" s="73"/>
      <c r="BN94" s="73"/>
      <c r="BO94" s="79"/>
    </row>
    <row r="95" spans="1:67" ht="15" thickBot="1" x14ac:dyDescent="0.35">
      <c r="A95" s="91" t="s">
        <v>232</v>
      </c>
      <c r="B95" s="88" t="s">
        <v>233</v>
      </c>
      <c r="C95" s="82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4"/>
      <c r="P95" s="82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4"/>
      <c r="AC95" s="82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4"/>
      <c r="AP95" s="82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79">
        <f t="shared" si="1"/>
        <v>0</v>
      </c>
      <c r="BC95" s="82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79"/>
    </row>
    <row r="96" spans="1:67" x14ac:dyDescent="0.3">
      <c r="A96" s="147" t="s">
        <v>44</v>
      </c>
      <c r="B96" s="147" t="s">
        <v>230</v>
      </c>
      <c r="C96" s="152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53"/>
      <c r="P96" s="152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53"/>
      <c r="AC96" s="152"/>
      <c r="AD96" s="120"/>
      <c r="AE96" s="120"/>
      <c r="AF96" s="120"/>
      <c r="AG96" s="120"/>
      <c r="AH96" s="120"/>
      <c r="AI96" s="120"/>
      <c r="AJ96" s="120"/>
      <c r="AK96" s="120"/>
      <c r="AL96" s="120"/>
      <c r="AM96" s="120"/>
      <c r="AN96" s="120"/>
      <c r="AO96" s="153"/>
      <c r="AP96" s="152"/>
      <c r="AQ96" s="120"/>
      <c r="AR96" s="120"/>
      <c r="AS96" s="120"/>
      <c r="AT96" s="120"/>
      <c r="AU96" s="120"/>
      <c r="AV96" s="120"/>
      <c r="AW96" s="120"/>
      <c r="AX96" s="120"/>
      <c r="AY96" s="120"/>
      <c r="AZ96" s="120"/>
      <c r="BA96" s="120"/>
      <c r="BB96" s="153"/>
      <c r="BC96" s="152"/>
      <c r="BD96" s="120"/>
      <c r="BE96" s="120"/>
      <c r="BF96" s="120"/>
      <c r="BG96" s="120"/>
      <c r="BH96" s="120"/>
      <c r="BI96" s="120"/>
      <c r="BJ96" s="120"/>
      <c r="BK96" s="120"/>
      <c r="BL96" s="120"/>
      <c r="BM96" s="120"/>
      <c r="BN96" s="120"/>
      <c r="BO96" s="153"/>
    </row>
    <row r="97" spans="1:67" x14ac:dyDescent="0.3">
      <c r="A97" s="89" t="s">
        <v>232</v>
      </c>
      <c r="B97" s="89" t="s">
        <v>233</v>
      </c>
      <c r="C97" s="80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81"/>
      <c r="P97" s="80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81"/>
      <c r="AC97" s="80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81"/>
      <c r="AP97" s="80"/>
      <c r="AQ97" s="73"/>
      <c r="AR97" s="73"/>
      <c r="AS97" s="73"/>
      <c r="AT97" s="73"/>
      <c r="AU97" s="73"/>
      <c r="AV97" s="73"/>
      <c r="AW97" s="73"/>
      <c r="AX97" s="73"/>
      <c r="AY97" s="73"/>
      <c r="AZ97" s="73"/>
      <c r="BA97" s="73"/>
      <c r="BB97" s="81"/>
      <c r="BC97" s="80"/>
      <c r="BD97" s="73"/>
      <c r="BE97" s="73"/>
      <c r="BF97" s="73"/>
      <c r="BG97" s="73"/>
      <c r="BH97" s="73"/>
      <c r="BI97" s="73"/>
      <c r="BJ97" s="73"/>
      <c r="BK97" s="73"/>
      <c r="BL97" s="73"/>
      <c r="BM97" s="73"/>
      <c r="BN97" s="73"/>
      <c r="BO97" s="81"/>
    </row>
    <row r="98" spans="1:67" x14ac:dyDescent="0.3">
      <c r="A98" s="89" t="s">
        <v>237</v>
      </c>
      <c r="B98" s="89" t="s">
        <v>238</v>
      </c>
      <c r="C98" s="80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81"/>
      <c r="P98" s="80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81"/>
      <c r="AC98" s="80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81"/>
      <c r="AP98" s="80"/>
      <c r="AQ98" s="73"/>
      <c r="AR98" s="73"/>
      <c r="AS98" s="73"/>
      <c r="AT98" s="73"/>
      <c r="AU98" s="73"/>
      <c r="AV98" s="73"/>
      <c r="AW98" s="73"/>
      <c r="AX98" s="73"/>
      <c r="AY98" s="73"/>
      <c r="AZ98" s="73"/>
      <c r="BA98" s="73"/>
      <c r="BB98" s="81"/>
      <c r="BC98" s="80"/>
      <c r="BD98" s="73"/>
      <c r="BE98" s="73"/>
      <c r="BF98" s="73"/>
      <c r="BG98" s="73"/>
      <c r="BH98" s="73"/>
      <c r="BI98" s="73"/>
      <c r="BJ98" s="73"/>
      <c r="BK98" s="73"/>
      <c r="BL98" s="73"/>
      <c r="BM98" s="73"/>
      <c r="BN98" s="73"/>
      <c r="BO98" s="81"/>
    </row>
    <row r="99" spans="1:67" x14ac:dyDescent="0.3">
      <c r="A99" s="89" t="s">
        <v>237</v>
      </c>
      <c r="B99" s="89" t="s">
        <v>240</v>
      </c>
      <c r="C99" s="80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81"/>
      <c r="P99" s="80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81"/>
      <c r="AC99" s="80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81"/>
      <c r="AP99" s="80"/>
      <c r="AQ99" s="73"/>
      <c r="AR99" s="73"/>
      <c r="AS99" s="73"/>
      <c r="AT99" s="73"/>
      <c r="AU99" s="73"/>
      <c r="AV99" s="73"/>
      <c r="AW99" s="73"/>
      <c r="AX99" s="73"/>
      <c r="AY99" s="73"/>
      <c r="AZ99" s="73"/>
      <c r="BA99" s="73"/>
      <c r="BB99" s="81"/>
      <c r="BC99" s="80"/>
      <c r="BD99" s="73"/>
      <c r="BE99" s="73"/>
      <c r="BF99" s="73"/>
      <c r="BG99" s="73"/>
      <c r="BH99" s="73"/>
      <c r="BI99" s="73"/>
      <c r="BJ99" s="73"/>
      <c r="BK99" s="73"/>
      <c r="BL99" s="73"/>
      <c r="BM99" s="73"/>
      <c r="BN99" s="73"/>
      <c r="BO99" s="81"/>
    </row>
    <row r="100" spans="1:67" x14ac:dyDescent="0.3">
      <c r="A100" s="89" t="s">
        <v>237</v>
      </c>
      <c r="B100" s="89" t="s">
        <v>242</v>
      </c>
      <c r="C100" s="80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81"/>
      <c r="P100" s="80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81"/>
      <c r="AC100" s="80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81"/>
      <c r="AP100" s="80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81"/>
      <c r="BC100" s="80"/>
      <c r="BD100" s="73"/>
      <c r="BE100" s="73"/>
      <c r="BF100" s="73"/>
      <c r="BG100" s="73"/>
      <c r="BH100" s="73"/>
      <c r="BI100" s="73"/>
      <c r="BJ100" s="73"/>
      <c r="BK100" s="73"/>
      <c r="BL100" s="73"/>
      <c r="BM100" s="73"/>
      <c r="BN100" s="73"/>
      <c r="BO100" s="81"/>
    </row>
    <row r="101" spans="1:67" x14ac:dyDescent="0.3">
      <c r="A101" s="89" t="s">
        <v>237</v>
      </c>
      <c r="B101" s="89" t="s">
        <v>244</v>
      </c>
      <c r="C101" s="80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81"/>
      <c r="P101" s="80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81"/>
      <c r="AC101" s="80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81"/>
      <c r="AP101" s="80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73"/>
      <c r="BB101" s="81"/>
      <c r="BC101" s="80"/>
      <c r="BD101" s="73"/>
      <c r="BE101" s="73"/>
      <c r="BF101" s="73"/>
      <c r="BG101" s="73"/>
      <c r="BH101" s="73"/>
      <c r="BI101" s="73"/>
      <c r="BJ101" s="73"/>
      <c r="BK101" s="73"/>
      <c r="BL101" s="73"/>
      <c r="BM101" s="73"/>
      <c r="BN101" s="73"/>
      <c r="BO101" s="81"/>
    </row>
    <row r="102" spans="1:67" x14ac:dyDescent="0.3">
      <c r="A102" s="89" t="s">
        <v>237</v>
      </c>
      <c r="B102" s="89" t="s">
        <v>246</v>
      </c>
      <c r="C102" s="80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81"/>
      <c r="P102" s="80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81"/>
      <c r="AC102" s="80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81"/>
      <c r="AP102" s="80"/>
      <c r="AQ102" s="73"/>
      <c r="AR102" s="73"/>
      <c r="AS102" s="73"/>
      <c r="AT102" s="73"/>
      <c r="AU102" s="73"/>
      <c r="AV102" s="73"/>
      <c r="AW102" s="73"/>
      <c r="AX102" s="73"/>
      <c r="AY102" s="73"/>
      <c r="AZ102" s="73"/>
      <c r="BA102" s="73"/>
      <c r="BB102" s="81"/>
      <c r="BC102" s="80"/>
      <c r="BD102" s="73"/>
      <c r="BE102" s="73"/>
      <c r="BF102" s="73"/>
      <c r="BG102" s="73"/>
      <c r="BH102" s="73"/>
      <c r="BI102" s="73"/>
      <c r="BJ102" s="73"/>
      <c r="BK102" s="73"/>
      <c r="BL102" s="73"/>
      <c r="BM102" s="73"/>
      <c r="BN102" s="73"/>
      <c r="BO102" s="81"/>
    </row>
    <row r="103" spans="1:67" x14ac:dyDescent="0.3">
      <c r="A103" s="89" t="s">
        <v>237</v>
      </c>
      <c r="B103" s="89" t="s">
        <v>248</v>
      </c>
      <c r="C103" s="80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81"/>
      <c r="P103" s="80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81"/>
      <c r="AC103" s="80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81"/>
      <c r="AP103" s="80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81"/>
      <c r="BC103" s="80"/>
      <c r="BD103" s="73"/>
      <c r="BE103" s="73"/>
      <c r="BF103" s="73"/>
      <c r="BG103" s="73"/>
      <c r="BH103" s="73"/>
      <c r="BI103" s="73"/>
      <c r="BJ103" s="73"/>
      <c r="BK103" s="73"/>
      <c r="BL103" s="73"/>
      <c r="BM103" s="73"/>
      <c r="BN103" s="73"/>
      <c r="BO103" s="81"/>
    </row>
    <row r="104" spans="1:67" x14ac:dyDescent="0.3">
      <c r="A104" s="89" t="s">
        <v>237</v>
      </c>
      <c r="B104" s="89" t="s">
        <v>250</v>
      </c>
      <c r="C104" s="80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81"/>
      <c r="P104" s="80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81"/>
      <c r="AC104" s="80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73"/>
      <c r="AO104" s="81"/>
      <c r="AP104" s="80"/>
      <c r="AQ104" s="73"/>
      <c r="AR104" s="73"/>
      <c r="AS104" s="73"/>
      <c r="AT104" s="73"/>
      <c r="AU104" s="73"/>
      <c r="AV104" s="73"/>
      <c r="AW104" s="73"/>
      <c r="AX104" s="73"/>
      <c r="AY104" s="73"/>
      <c r="AZ104" s="73"/>
      <c r="BA104" s="73"/>
      <c r="BB104" s="81"/>
      <c r="BC104" s="80"/>
      <c r="BD104" s="73"/>
      <c r="BE104" s="73"/>
      <c r="BF104" s="73"/>
      <c r="BG104" s="73"/>
      <c r="BH104" s="73"/>
      <c r="BI104" s="73"/>
      <c r="BJ104" s="73"/>
      <c r="BK104" s="73"/>
      <c r="BL104" s="73"/>
      <c r="BM104" s="73"/>
      <c r="BN104" s="73"/>
      <c r="BO104" s="81"/>
    </row>
    <row r="105" spans="1:67" x14ac:dyDescent="0.3">
      <c r="A105" s="89" t="s">
        <v>237</v>
      </c>
      <c r="B105" s="89" t="s">
        <v>252</v>
      </c>
      <c r="C105" s="80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81"/>
      <c r="P105" s="80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81"/>
      <c r="AC105" s="80"/>
      <c r="AD105" s="73"/>
      <c r="AE105" s="73"/>
      <c r="AF105" s="73"/>
      <c r="AG105" s="73"/>
      <c r="AH105" s="73"/>
      <c r="AI105" s="73"/>
      <c r="AJ105" s="73"/>
      <c r="AK105" s="73"/>
      <c r="AL105" s="73"/>
      <c r="AM105" s="73"/>
      <c r="AN105" s="73"/>
      <c r="AO105" s="81"/>
      <c r="AP105" s="80"/>
      <c r="AQ105" s="73"/>
      <c r="AR105" s="73"/>
      <c r="AS105" s="73"/>
      <c r="AT105" s="73"/>
      <c r="AU105" s="73"/>
      <c r="AV105" s="73"/>
      <c r="AW105" s="73"/>
      <c r="AX105" s="73"/>
      <c r="AY105" s="73"/>
      <c r="AZ105" s="73"/>
      <c r="BA105" s="73"/>
      <c r="BB105" s="81"/>
      <c r="BC105" s="80"/>
      <c r="BD105" s="73"/>
      <c r="BE105" s="73"/>
      <c r="BF105" s="73"/>
      <c r="BG105" s="73"/>
      <c r="BH105" s="73"/>
      <c r="BI105" s="73"/>
      <c r="BJ105" s="73"/>
      <c r="BK105" s="73"/>
      <c r="BL105" s="73"/>
      <c r="BM105" s="73"/>
      <c r="BN105" s="73"/>
      <c r="BO105" s="81"/>
    </row>
    <row r="106" spans="1:67" x14ac:dyDescent="0.3">
      <c r="A106" s="89" t="s">
        <v>237</v>
      </c>
      <c r="B106" s="89" t="s">
        <v>254</v>
      </c>
      <c r="C106" s="80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81"/>
      <c r="P106" s="80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81"/>
      <c r="AC106" s="80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81"/>
      <c r="AP106" s="80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81"/>
      <c r="BC106" s="80"/>
      <c r="BD106" s="73"/>
      <c r="BE106" s="73"/>
      <c r="BF106" s="73"/>
      <c r="BG106" s="73"/>
      <c r="BH106" s="73"/>
      <c r="BI106" s="73"/>
      <c r="BJ106" s="73"/>
      <c r="BK106" s="73"/>
      <c r="BL106" s="73"/>
      <c r="BM106" s="73"/>
      <c r="BN106" s="73"/>
      <c r="BO106" s="81"/>
    </row>
    <row r="107" spans="1:67" x14ac:dyDescent="0.3">
      <c r="A107" s="89" t="s">
        <v>237</v>
      </c>
      <c r="B107" s="89" t="s">
        <v>256</v>
      </c>
      <c r="C107" s="80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81"/>
      <c r="P107" s="80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81"/>
      <c r="AC107" s="80"/>
      <c r="AD107" s="73"/>
      <c r="AE107" s="73"/>
      <c r="AF107" s="73"/>
      <c r="AG107" s="73"/>
      <c r="AH107" s="73"/>
      <c r="AI107" s="73"/>
      <c r="AJ107" s="73"/>
      <c r="AK107" s="73"/>
      <c r="AL107" s="73"/>
      <c r="AM107" s="73"/>
      <c r="AN107" s="73"/>
      <c r="AO107" s="81"/>
      <c r="AP107" s="80"/>
      <c r="AQ107" s="73"/>
      <c r="AR107" s="73"/>
      <c r="AS107" s="73"/>
      <c r="AT107" s="73"/>
      <c r="AU107" s="73"/>
      <c r="AV107" s="73"/>
      <c r="AW107" s="73"/>
      <c r="AX107" s="73"/>
      <c r="AY107" s="73"/>
      <c r="AZ107" s="73"/>
      <c r="BA107" s="73"/>
      <c r="BB107" s="81"/>
      <c r="BC107" s="80"/>
      <c r="BD107" s="73"/>
      <c r="BE107" s="73"/>
      <c r="BF107" s="73"/>
      <c r="BG107" s="73"/>
      <c r="BH107" s="73"/>
      <c r="BI107" s="73"/>
      <c r="BJ107" s="73"/>
      <c r="BK107" s="73"/>
      <c r="BL107" s="73"/>
      <c r="BM107" s="73"/>
      <c r="BN107" s="73"/>
      <c r="BO107" s="81"/>
    </row>
    <row r="108" spans="1:67" x14ac:dyDescent="0.3">
      <c r="A108" s="89" t="s">
        <v>237</v>
      </c>
      <c r="B108" s="89" t="s">
        <v>258</v>
      </c>
      <c r="C108" s="80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81"/>
      <c r="P108" s="80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81"/>
      <c r="AC108" s="80"/>
      <c r="AD108" s="73"/>
      <c r="AE108" s="73"/>
      <c r="AF108" s="73"/>
      <c r="AG108" s="73"/>
      <c r="AH108" s="73"/>
      <c r="AI108" s="73"/>
      <c r="AJ108" s="73"/>
      <c r="AK108" s="73"/>
      <c r="AL108" s="73"/>
      <c r="AM108" s="73"/>
      <c r="AN108" s="73"/>
      <c r="AO108" s="81"/>
      <c r="AP108" s="80"/>
      <c r="AQ108" s="73"/>
      <c r="AR108" s="73"/>
      <c r="AS108" s="73"/>
      <c r="AT108" s="73"/>
      <c r="AU108" s="73"/>
      <c r="AV108" s="73"/>
      <c r="AW108" s="73"/>
      <c r="AX108" s="73"/>
      <c r="AY108" s="73"/>
      <c r="AZ108" s="73"/>
      <c r="BA108" s="73"/>
      <c r="BB108" s="81"/>
      <c r="BC108" s="80"/>
      <c r="BD108" s="73"/>
      <c r="BE108" s="73"/>
      <c r="BF108" s="73"/>
      <c r="BG108" s="73"/>
      <c r="BH108" s="73"/>
      <c r="BI108" s="73"/>
      <c r="BJ108" s="73"/>
      <c r="BK108" s="73"/>
      <c r="BL108" s="73"/>
      <c r="BM108" s="73"/>
      <c r="BN108" s="73"/>
      <c r="BO108" s="81"/>
    </row>
    <row r="109" spans="1:67" x14ac:dyDescent="0.3">
      <c r="A109" s="89" t="s">
        <v>237</v>
      </c>
      <c r="B109" s="89" t="s">
        <v>260</v>
      </c>
      <c r="C109" s="80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81"/>
      <c r="P109" s="80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81"/>
      <c r="AC109" s="80"/>
      <c r="AD109" s="73"/>
      <c r="AE109" s="73"/>
      <c r="AF109" s="73"/>
      <c r="AG109" s="73"/>
      <c r="AH109" s="73"/>
      <c r="AI109" s="73"/>
      <c r="AJ109" s="73"/>
      <c r="AK109" s="73"/>
      <c r="AL109" s="73"/>
      <c r="AM109" s="73"/>
      <c r="AN109" s="73"/>
      <c r="AO109" s="81"/>
      <c r="AP109" s="80"/>
      <c r="AQ109" s="73"/>
      <c r="AR109" s="73"/>
      <c r="AS109" s="73"/>
      <c r="AT109" s="73"/>
      <c r="AU109" s="73"/>
      <c r="AV109" s="73"/>
      <c r="AW109" s="73"/>
      <c r="AX109" s="73"/>
      <c r="AY109" s="73"/>
      <c r="AZ109" s="73"/>
      <c r="BA109" s="73"/>
      <c r="BB109" s="81"/>
      <c r="BC109" s="80"/>
      <c r="BD109" s="73"/>
      <c r="BE109" s="73"/>
      <c r="BF109" s="73"/>
      <c r="BG109" s="73"/>
      <c r="BH109" s="73"/>
      <c r="BI109" s="73"/>
      <c r="BJ109" s="73"/>
      <c r="BK109" s="73"/>
      <c r="BL109" s="73"/>
      <c r="BM109" s="73"/>
      <c r="BN109" s="73"/>
      <c r="BO109" s="81"/>
    </row>
    <row r="110" spans="1:67" x14ac:dyDescent="0.3">
      <c r="A110" s="89" t="s">
        <v>237</v>
      </c>
      <c r="B110" s="89" t="s">
        <v>262</v>
      </c>
      <c r="C110" s="80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81"/>
      <c r="P110" s="80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81"/>
      <c r="AC110" s="80"/>
      <c r="AD110" s="73"/>
      <c r="AE110" s="73"/>
      <c r="AF110" s="73"/>
      <c r="AG110" s="73"/>
      <c r="AH110" s="73"/>
      <c r="AI110" s="73"/>
      <c r="AJ110" s="73"/>
      <c r="AK110" s="73"/>
      <c r="AL110" s="73"/>
      <c r="AM110" s="73"/>
      <c r="AN110" s="73"/>
      <c r="AO110" s="81"/>
      <c r="AP110" s="80"/>
      <c r="AQ110" s="73"/>
      <c r="AR110" s="73"/>
      <c r="AS110" s="73"/>
      <c r="AT110" s="73"/>
      <c r="AU110" s="73"/>
      <c r="AV110" s="73"/>
      <c r="AW110" s="73"/>
      <c r="AX110" s="73"/>
      <c r="AY110" s="73"/>
      <c r="AZ110" s="73"/>
      <c r="BA110" s="73"/>
      <c r="BB110" s="81"/>
      <c r="BC110" s="80"/>
      <c r="BD110" s="73"/>
      <c r="BE110" s="73"/>
      <c r="BF110" s="73"/>
      <c r="BG110" s="73"/>
      <c r="BH110" s="73"/>
      <c r="BI110" s="73"/>
      <c r="BJ110" s="73"/>
      <c r="BK110" s="73"/>
      <c r="BL110" s="73"/>
      <c r="BM110" s="73"/>
      <c r="BN110" s="73"/>
      <c r="BO110" s="81"/>
    </row>
    <row r="111" spans="1:67" x14ac:dyDescent="0.3">
      <c r="A111" s="89" t="s">
        <v>237</v>
      </c>
      <c r="B111" s="89" t="s">
        <v>264</v>
      </c>
      <c r="C111" s="80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81"/>
      <c r="P111" s="80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81"/>
      <c r="AC111" s="80"/>
      <c r="AD111" s="73"/>
      <c r="AE111" s="73"/>
      <c r="AF111" s="73"/>
      <c r="AG111" s="73"/>
      <c r="AH111" s="73"/>
      <c r="AI111" s="73"/>
      <c r="AJ111" s="73"/>
      <c r="AK111" s="73"/>
      <c r="AL111" s="73"/>
      <c r="AM111" s="73"/>
      <c r="AN111" s="73"/>
      <c r="AO111" s="81"/>
      <c r="AP111" s="80"/>
      <c r="AQ111" s="73"/>
      <c r="AR111" s="73"/>
      <c r="AS111" s="73"/>
      <c r="AT111" s="73"/>
      <c r="AU111" s="73"/>
      <c r="AV111" s="73"/>
      <c r="AW111" s="73"/>
      <c r="AX111" s="73"/>
      <c r="AY111" s="73"/>
      <c r="AZ111" s="73"/>
      <c r="BA111" s="73"/>
      <c r="BB111" s="81"/>
      <c r="BC111" s="80"/>
      <c r="BD111" s="73"/>
      <c r="BE111" s="73"/>
      <c r="BF111" s="73"/>
      <c r="BG111" s="73"/>
      <c r="BH111" s="73"/>
      <c r="BI111" s="73"/>
      <c r="BJ111" s="73"/>
      <c r="BK111" s="73"/>
      <c r="BL111" s="73"/>
      <c r="BM111" s="73"/>
      <c r="BN111" s="73"/>
      <c r="BO111" s="81"/>
    </row>
    <row r="112" spans="1:67" x14ac:dyDescent="0.3">
      <c r="A112" s="89" t="s">
        <v>237</v>
      </c>
      <c r="B112" s="89" t="s">
        <v>266</v>
      </c>
      <c r="C112" s="80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81"/>
      <c r="P112" s="80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81"/>
      <c r="AC112" s="80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81"/>
      <c r="AP112" s="80"/>
      <c r="AQ112" s="73"/>
      <c r="AR112" s="73"/>
      <c r="AS112" s="73"/>
      <c r="AT112" s="73"/>
      <c r="AU112" s="73"/>
      <c r="AV112" s="73"/>
      <c r="AW112" s="73"/>
      <c r="AX112" s="73"/>
      <c r="AY112" s="73"/>
      <c r="AZ112" s="73"/>
      <c r="BA112" s="73"/>
      <c r="BB112" s="81"/>
      <c r="BC112" s="80"/>
      <c r="BD112" s="73"/>
      <c r="BE112" s="73"/>
      <c r="BF112" s="73"/>
      <c r="BG112" s="73"/>
      <c r="BH112" s="73"/>
      <c r="BI112" s="73"/>
      <c r="BJ112" s="73"/>
      <c r="BK112" s="73"/>
      <c r="BL112" s="73"/>
      <c r="BM112" s="73"/>
      <c r="BN112" s="73"/>
      <c r="BO112" s="81"/>
    </row>
    <row r="113" spans="1:67" x14ac:dyDescent="0.3">
      <c r="A113" s="89" t="s">
        <v>237</v>
      </c>
      <c r="B113" s="89" t="s">
        <v>268</v>
      </c>
      <c r="C113" s="80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81"/>
      <c r="P113" s="80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81"/>
      <c r="AC113" s="80"/>
      <c r="AD113" s="73"/>
      <c r="AE113" s="73"/>
      <c r="AF113" s="73"/>
      <c r="AG113" s="73"/>
      <c r="AH113" s="73"/>
      <c r="AI113" s="73"/>
      <c r="AJ113" s="73"/>
      <c r="AK113" s="73"/>
      <c r="AL113" s="73"/>
      <c r="AM113" s="73"/>
      <c r="AN113" s="73"/>
      <c r="AO113" s="81"/>
      <c r="AP113" s="80"/>
      <c r="AQ113" s="73"/>
      <c r="AR113" s="73"/>
      <c r="AS113" s="73"/>
      <c r="AT113" s="73"/>
      <c r="AU113" s="73"/>
      <c r="AV113" s="73"/>
      <c r="AW113" s="73"/>
      <c r="AX113" s="73"/>
      <c r="AY113" s="73"/>
      <c r="AZ113" s="73"/>
      <c r="BA113" s="73"/>
      <c r="BB113" s="81"/>
      <c r="BC113" s="80"/>
      <c r="BD113" s="73"/>
      <c r="BE113" s="73"/>
      <c r="BF113" s="73"/>
      <c r="BG113" s="73"/>
      <c r="BH113" s="73"/>
      <c r="BI113" s="73"/>
      <c r="BJ113" s="73"/>
      <c r="BK113" s="73"/>
      <c r="BL113" s="73"/>
      <c r="BM113" s="73"/>
      <c r="BN113" s="73"/>
      <c r="BO113" s="81"/>
    </row>
    <row r="114" spans="1:67" x14ac:dyDescent="0.3">
      <c r="A114" s="89" t="s">
        <v>237</v>
      </c>
      <c r="B114" s="89" t="s">
        <v>270</v>
      </c>
      <c r="C114" s="80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81"/>
      <c r="P114" s="80"/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73"/>
      <c r="AB114" s="81"/>
      <c r="AC114" s="80"/>
      <c r="AD114" s="73"/>
      <c r="AE114" s="73"/>
      <c r="AF114" s="73"/>
      <c r="AG114" s="73"/>
      <c r="AH114" s="73"/>
      <c r="AI114" s="73"/>
      <c r="AJ114" s="73"/>
      <c r="AK114" s="73"/>
      <c r="AL114" s="73"/>
      <c r="AM114" s="73"/>
      <c r="AN114" s="73"/>
      <c r="AO114" s="81"/>
      <c r="AP114" s="80"/>
      <c r="AQ114" s="73"/>
      <c r="AR114" s="73"/>
      <c r="AS114" s="73"/>
      <c r="AT114" s="73"/>
      <c r="AU114" s="73"/>
      <c r="AV114" s="73"/>
      <c r="AW114" s="73"/>
      <c r="AX114" s="73"/>
      <c r="AY114" s="73"/>
      <c r="AZ114" s="73"/>
      <c r="BA114" s="73"/>
      <c r="BB114" s="81"/>
      <c r="BC114" s="80"/>
      <c r="BD114" s="73"/>
      <c r="BE114" s="73"/>
      <c r="BF114" s="73"/>
      <c r="BG114" s="73"/>
      <c r="BH114" s="73"/>
      <c r="BI114" s="73"/>
      <c r="BJ114" s="73"/>
      <c r="BK114" s="73"/>
      <c r="BL114" s="73"/>
      <c r="BM114" s="73"/>
      <c r="BN114" s="73"/>
      <c r="BO114" s="81"/>
    </row>
    <row r="115" spans="1:67" x14ac:dyDescent="0.3">
      <c r="A115" s="89" t="s">
        <v>237</v>
      </c>
      <c r="B115" s="89" t="s">
        <v>272</v>
      </c>
      <c r="C115" s="80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81"/>
      <c r="P115" s="80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81"/>
      <c r="AC115" s="80"/>
      <c r="AD115" s="73"/>
      <c r="AE115" s="73"/>
      <c r="AF115" s="73"/>
      <c r="AG115" s="73"/>
      <c r="AH115" s="73"/>
      <c r="AI115" s="73"/>
      <c r="AJ115" s="73"/>
      <c r="AK115" s="73"/>
      <c r="AL115" s="73"/>
      <c r="AM115" s="73"/>
      <c r="AN115" s="73"/>
      <c r="AO115" s="81"/>
      <c r="AP115" s="80"/>
      <c r="AQ115" s="73"/>
      <c r="AR115" s="73"/>
      <c r="AS115" s="73"/>
      <c r="AT115" s="73"/>
      <c r="AU115" s="73"/>
      <c r="AV115" s="73"/>
      <c r="AW115" s="73"/>
      <c r="AX115" s="73"/>
      <c r="AY115" s="73"/>
      <c r="AZ115" s="73"/>
      <c r="BA115" s="73"/>
      <c r="BB115" s="81"/>
      <c r="BC115" s="80"/>
      <c r="BD115" s="73"/>
      <c r="BE115" s="73"/>
      <c r="BF115" s="73"/>
      <c r="BG115" s="73"/>
      <c r="BH115" s="73"/>
      <c r="BI115" s="73"/>
      <c r="BJ115" s="73"/>
      <c r="BK115" s="73"/>
      <c r="BL115" s="73"/>
      <c r="BM115" s="73"/>
      <c r="BN115" s="73"/>
      <c r="BO115" s="81"/>
    </row>
    <row r="116" spans="1:67" x14ac:dyDescent="0.3">
      <c r="A116" s="89" t="s">
        <v>237</v>
      </c>
      <c r="B116" s="89" t="s">
        <v>274</v>
      </c>
      <c r="C116" s="80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81"/>
      <c r="P116" s="80"/>
      <c r="Q116" s="73"/>
      <c r="R116" s="73"/>
      <c r="S116" s="73"/>
      <c r="T116" s="73"/>
      <c r="U116" s="73"/>
      <c r="V116" s="73"/>
      <c r="W116" s="73"/>
      <c r="X116" s="73"/>
      <c r="Y116" s="73"/>
      <c r="Z116" s="73"/>
      <c r="AA116" s="73"/>
      <c r="AB116" s="81"/>
      <c r="AC116" s="80"/>
      <c r="AD116" s="73"/>
      <c r="AE116" s="73"/>
      <c r="AF116" s="73"/>
      <c r="AG116" s="73"/>
      <c r="AH116" s="73"/>
      <c r="AI116" s="73"/>
      <c r="AJ116" s="73"/>
      <c r="AK116" s="73"/>
      <c r="AL116" s="73"/>
      <c r="AM116" s="73"/>
      <c r="AN116" s="73"/>
      <c r="AO116" s="81"/>
      <c r="AP116" s="80"/>
      <c r="AQ116" s="73"/>
      <c r="AR116" s="73"/>
      <c r="AS116" s="73"/>
      <c r="AT116" s="73"/>
      <c r="AU116" s="73"/>
      <c r="AV116" s="73"/>
      <c r="AW116" s="73"/>
      <c r="AX116" s="73"/>
      <c r="AY116" s="73"/>
      <c r="AZ116" s="73"/>
      <c r="BA116" s="73"/>
      <c r="BB116" s="81"/>
      <c r="BC116" s="80"/>
      <c r="BD116" s="73"/>
      <c r="BE116" s="73"/>
      <c r="BF116" s="73"/>
      <c r="BG116" s="73"/>
      <c r="BH116" s="73"/>
      <c r="BI116" s="73"/>
      <c r="BJ116" s="73"/>
      <c r="BK116" s="73"/>
      <c r="BL116" s="73"/>
      <c r="BM116" s="73"/>
      <c r="BN116" s="73"/>
      <c r="BO116" s="81"/>
    </row>
    <row r="117" spans="1:67" x14ac:dyDescent="0.3">
      <c r="A117" s="89" t="s">
        <v>237</v>
      </c>
      <c r="B117" s="89" t="s">
        <v>276</v>
      </c>
      <c r="C117" s="80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81"/>
      <c r="P117" s="80"/>
      <c r="Q117" s="73"/>
      <c r="R117" s="73"/>
      <c r="S117" s="73"/>
      <c r="T117" s="73"/>
      <c r="U117" s="73"/>
      <c r="V117" s="73"/>
      <c r="W117" s="73"/>
      <c r="X117" s="73"/>
      <c r="Y117" s="73"/>
      <c r="Z117" s="73"/>
      <c r="AA117" s="73"/>
      <c r="AB117" s="81"/>
      <c r="AC117" s="80"/>
      <c r="AD117" s="73"/>
      <c r="AE117" s="73"/>
      <c r="AF117" s="73"/>
      <c r="AG117" s="73"/>
      <c r="AH117" s="73"/>
      <c r="AI117" s="73"/>
      <c r="AJ117" s="73"/>
      <c r="AK117" s="73"/>
      <c r="AL117" s="73"/>
      <c r="AM117" s="73"/>
      <c r="AN117" s="73"/>
      <c r="AO117" s="81"/>
      <c r="AP117" s="80"/>
      <c r="AQ117" s="73"/>
      <c r="AR117" s="73"/>
      <c r="AS117" s="73"/>
      <c r="AT117" s="73"/>
      <c r="AU117" s="73"/>
      <c r="AV117" s="73"/>
      <c r="AW117" s="73"/>
      <c r="AX117" s="73"/>
      <c r="AY117" s="73"/>
      <c r="AZ117" s="73"/>
      <c r="BA117" s="73"/>
      <c r="BB117" s="81"/>
      <c r="BC117" s="80"/>
      <c r="BD117" s="73"/>
      <c r="BE117" s="73"/>
      <c r="BF117" s="73"/>
      <c r="BG117" s="73"/>
      <c r="BH117" s="73"/>
      <c r="BI117" s="73"/>
      <c r="BJ117" s="73"/>
      <c r="BK117" s="73"/>
      <c r="BL117" s="73"/>
      <c r="BM117" s="73"/>
      <c r="BN117" s="73"/>
      <c r="BO117" s="81"/>
    </row>
    <row r="118" spans="1:67" x14ac:dyDescent="0.3">
      <c r="A118" s="89" t="s">
        <v>237</v>
      </c>
      <c r="B118" s="89" t="s">
        <v>278</v>
      </c>
      <c r="C118" s="80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81"/>
      <c r="P118" s="80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81"/>
      <c r="AC118" s="80"/>
      <c r="AD118" s="73"/>
      <c r="AE118" s="73"/>
      <c r="AF118" s="73"/>
      <c r="AG118" s="73"/>
      <c r="AH118" s="73"/>
      <c r="AI118" s="73"/>
      <c r="AJ118" s="73"/>
      <c r="AK118" s="73"/>
      <c r="AL118" s="73"/>
      <c r="AM118" s="73"/>
      <c r="AN118" s="73"/>
      <c r="AO118" s="81"/>
      <c r="AP118" s="80"/>
      <c r="AQ118" s="73"/>
      <c r="AR118" s="73"/>
      <c r="AS118" s="73"/>
      <c r="AT118" s="73"/>
      <c r="AU118" s="73"/>
      <c r="AV118" s="73"/>
      <c r="AW118" s="73"/>
      <c r="AX118" s="73"/>
      <c r="AY118" s="73"/>
      <c r="AZ118" s="73"/>
      <c r="BA118" s="73"/>
      <c r="BB118" s="81"/>
      <c r="BC118" s="80"/>
      <c r="BD118" s="73"/>
      <c r="BE118" s="73"/>
      <c r="BF118" s="73"/>
      <c r="BG118" s="73"/>
      <c r="BH118" s="73"/>
      <c r="BI118" s="73"/>
      <c r="BJ118" s="73"/>
      <c r="BK118" s="73"/>
      <c r="BL118" s="73"/>
      <c r="BM118" s="73"/>
      <c r="BN118" s="73"/>
      <c r="BO118" s="81"/>
    </row>
    <row r="119" spans="1:67" x14ac:dyDescent="0.3">
      <c r="A119" s="89" t="s">
        <v>237</v>
      </c>
      <c r="B119" s="89" t="s">
        <v>280</v>
      </c>
      <c r="C119" s="80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81"/>
      <c r="P119" s="80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81"/>
      <c r="AC119" s="80"/>
      <c r="AD119" s="73"/>
      <c r="AE119" s="73"/>
      <c r="AF119" s="73"/>
      <c r="AG119" s="73"/>
      <c r="AH119" s="73"/>
      <c r="AI119" s="73"/>
      <c r="AJ119" s="73"/>
      <c r="AK119" s="73"/>
      <c r="AL119" s="73"/>
      <c r="AM119" s="73"/>
      <c r="AN119" s="73"/>
      <c r="AO119" s="81"/>
      <c r="AP119" s="80"/>
      <c r="AQ119" s="73"/>
      <c r="AR119" s="73"/>
      <c r="AS119" s="73"/>
      <c r="AT119" s="73"/>
      <c r="AU119" s="73"/>
      <c r="AV119" s="73"/>
      <c r="AW119" s="73"/>
      <c r="AX119" s="73"/>
      <c r="AY119" s="73"/>
      <c r="AZ119" s="73"/>
      <c r="BA119" s="73"/>
      <c r="BB119" s="81"/>
      <c r="BC119" s="80"/>
      <c r="BD119" s="73"/>
      <c r="BE119" s="73"/>
      <c r="BF119" s="73"/>
      <c r="BG119" s="73"/>
      <c r="BH119" s="73"/>
      <c r="BI119" s="73"/>
      <c r="BJ119" s="73"/>
      <c r="BK119" s="73"/>
      <c r="BL119" s="73"/>
      <c r="BM119" s="73"/>
      <c r="BN119" s="73"/>
      <c r="BO119" s="81"/>
    </row>
    <row r="120" spans="1:67" x14ac:dyDescent="0.3">
      <c r="A120" s="89" t="s">
        <v>237</v>
      </c>
      <c r="B120" s="89" t="s">
        <v>282</v>
      </c>
      <c r="C120" s="80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81"/>
      <c r="P120" s="80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81"/>
      <c r="AC120" s="80"/>
      <c r="AD120" s="73"/>
      <c r="AE120" s="73"/>
      <c r="AF120" s="73"/>
      <c r="AG120" s="73"/>
      <c r="AH120" s="73"/>
      <c r="AI120" s="73"/>
      <c r="AJ120" s="73"/>
      <c r="AK120" s="73"/>
      <c r="AL120" s="73"/>
      <c r="AM120" s="73"/>
      <c r="AN120" s="73"/>
      <c r="AO120" s="81"/>
      <c r="AP120" s="80"/>
      <c r="AQ120" s="73"/>
      <c r="AR120" s="73"/>
      <c r="AS120" s="73"/>
      <c r="AT120" s="73"/>
      <c r="AU120" s="73"/>
      <c r="AV120" s="73"/>
      <c r="AW120" s="73"/>
      <c r="AX120" s="73"/>
      <c r="AY120" s="73"/>
      <c r="AZ120" s="73"/>
      <c r="BA120" s="73"/>
      <c r="BB120" s="81"/>
      <c r="BC120" s="80"/>
      <c r="BD120" s="73"/>
      <c r="BE120" s="73"/>
      <c r="BF120" s="73"/>
      <c r="BG120" s="73"/>
      <c r="BH120" s="73"/>
      <c r="BI120" s="73"/>
      <c r="BJ120" s="73"/>
      <c r="BK120" s="73"/>
      <c r="BL120" s="73"/>
      <c r="BM120" s="73"/>
      <c r="BN120" s="73"/>
      <c r="BO120" s="81"/>
    </row>
    <row r="121" spans="1:67" x14ac:dyDescent="0.3">
      <c r="A121" s="89" t="s">
        <v>237</v>
      </c>
      <c r="B121" s="89" t="s">
        <v>284</v>
      </c>
      <c r="C121" s="80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81"/>
      <c r="P121" s="80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81"/>
      <c r="AC121" s="80"/>
      <c r="AD121" s="73"/>
      <c r="AE121" s="73"/>
      <c r="AF121" s="73"/>
      <c r="AG121" s="73"/>
      <c r="AH121" s="73"/>
      <c r="AI121" s="73"/>
      <c r="AJ121" s="73"/>
      <c r="AK121" s="73"/>
      <c r="AL121" s="73"/>
      <c r="AM121" s="73"/>
      <c r="AN121" s="73"/>
      <c r="AO121" s="81"/>
      <c r="AP121" s="80"/>
      <c r="AQ121" s="73"/>
      <c r="AR121" s="73"/>
      <c r="AS121" s="73"/>
      <c r="AT121" s="73"/>
      <c r="AU121" s="73"/>
      <c r="AV121" s="73"/>
      <c r="AW121" s="73"/>
      <c r="AX121" s="73"/>
      <c r="AY121" s="73"/>
      <c r="AZ121" s="73"/>
      <c r="BA121" s="73"/>
      <c r="BB121" s="81"/>
      <c r="BC121" s="80"/>
      <c r="BD121" s="73"/>
      <c r="BE121" s="73"/>
      <c r="BF121" s="73"/>
      <c r="BG121" s="73"/>
      <c r="BH121" s="73"/>
      <c r="BI121" s="73"/>
      <c r="BJ121" s="73"/>
      <c r="BK121" s="73"/>
      <c r="BL121" s="73"/>
      <c r="BM121" s="73"/>
      <c r="BN121" s="73"/>
      <c r="BO121" s="81"/>
    </row>
    <row r="122" spans="1:67" x14ac:dyDescent="0.3">
      <c r="A122" s="89" t="s">
        <v>237</v>
      </c>
      <c r="B122" s="89" t="s">
        <v>286</v>
      </c>
      <c r="C122" s="80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81"/>
      <c r="P122" s="80"/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81"/>
      <c r="AC122" s="80"/>
      <c r="AD122" s="73"/>
      <c r="AE122" s="73"/>
      <c r="AF122" s="73"/>
      <c r="AG122" s="73"/>
      <c r="AH122" s="73"/>
      <c r="AI122" s="73"/>
      <c r="AJ122" s="73"/>
      <c r="AK122" s="73"/>
      <c r="AL122" s="73"/>
      <c r="AM122" s="73"/>
      <c r="AN122" s="73"/>
      <c r="AO122" s="81"/>
      <c r="AP122" s="80"/>
      <c r="AQ122" s="73"/>
      <c r="AR122" s="73"/>
      <c r="AS122" s="73"/>
      <c r="AT122" s="73"/>
      <c r="AU122" s="73"/>
      <c r="AV122" s="73"/>
      <c r="AW122" s="73"/>
      <c r="AX122" s="73"/>
      <c r="AY122" s="73"/>
      <c r="AZ122" s="73"/>
      <c r="BA122" s="73"/>
      <c r="BB122" s="81"/>
      <c r="BC122" s="80"/>
      <c r="BD122" s="73"/>
      <c r="BE122" s="73"/>
      <c r="BF122" s="73"/>
      <c r="BG122" s="73"/>
      <c r="BH122" s="73"/>
      <c r="BI122" s="73"/>
      <c r="BJ122" s="73"/>
      <c r="BK122" s="73"/>
      <c r="BL122" s="73"/>
      <c r="BM122" s="73"/>
      <c r="BN122" s="73"/>
      <c r="BO122" s="81"/>
    </row>
    <row r="123" spans="1:67" x14ac:dyDescent="0.3">
      <c r="A123" s="89" t="s">
        <v>237</v>
      </c>
      <c r="B123" s="89" t="s">
        <v>288</v>
      </c>
      <c r="C123" s="80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81"/>
      <c r="P123" s="80"/>
      <c r="Q123" s="73"/>
      <c r="R123" s="73"/>
      <c r="S123" s="73"/>
      <c r="T123" s="73"/>
      <c r="U123" s="73"/>
      <c r="V123" s="73"/>
      <c r="W123" s="73"/>
      <c r="X123" s="73"/>
      <c r="Y123" s="73"/>
      <c r="Z123" s="73"/>
      <c r="AA123" s="73"/>
      <c r="AB123" s="81"/>
      <c r="AC123" s="80"/>
      <c r="AD123" s="73"/>
      <c r="AE123" s="73"/>
      <c r="AF123" s="73"/>
      <c r="AG123" s="73"/>
      <c r="AH123" s="73"/>
      <c r="AI123" s="73"/>
      <c r="AJ123" s="73"/>
      <c r="AK123" s="73"/>
      <c r="AL123" s="73"/>
      <c r="AM123" s="73"/>
      <c r="AN123" s="73"/>
      <c r="AO123" s="81"/>
      <c r="AP123" s="80"/>
      <c r="AQ123" s="73"/>
      <c r="AR123" s="73"/>
      <c r="AS123" s="73"/>
      <c r="AT123" s="73"/>
      <c r="AU123" s="73"/>
      <c r="AV123" s="73"/>
      <c r="AW123" s="73"/>
      <c r="AX123" s="73"/>
      <c r="AY123" s="73"/>
      <c r="AZ123" s="73"/>
      <c r="BA123" s="73"/>
      <c r="BB123" s="81"/>
      <c r="BC123" s="80"/>
      <c r="BD123" s="73"/>
      <c r="BE123" s="73"/>
      <c r="BF123" s="73"/>
      <c r="BG123" s="73"/>
      <c r="BH123" s="73"/>
      <c r="BI123" s="73"/>
      <c r="BJ123" s="73"/>
      <c r="BK123" s="73"/>
      <c r="BL123" s="73"/>
      <c r="BM123" s="73"/>
      <c r="BN123" s="73"/>
      <c r="BO123" s="81"/>
    </row>
    <row r="124" spans="1:67" x14ac:dyDescent="0.3">
      <c r="A124" s="89" t="s">
        <v>237</v>
      </c>
      <c r="B124" s="89" t="s">
        <v>290</v>
      </c>
      <c r="C124" s="80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81"/>
      <c r="P124" s="80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81"/>
      <c r="AC124" s="80"/>
      <c r="AD124" s="73"/>
      <c r="AE124" s="73"/>
      <c r="AF124" s="73"/>
      <c r="AG124" s="73"/>
      <c r="AH124" s="73"/>
      <c r="AI124" s="73"/>
      <c r="AJ124" s="73"/>
      <c r="AK124" s="73"/>
      <c r="AL124" s="73"/>
      <c r="AM124" s="73"/>
      <c r="AN124" s="73"/>
      <c r="AO124" s="81"/>
      <c r="AP124" s="80"/>
      <c r="AQ124" s="73"/>
      <c r="AR124" s="73"/>
      <c r="AS124" s="73"/>
      <c r="AT124" s="73"/>
      <c r="AU124" s="73"/>
      <c r="AV124" s="73"/>
      <c r="AW124" s="73"/>
      <c r="AX124" s="73"/>
      <c r="AY124" s="73"/>
      <c r="AZ124" s="73"/>
      <c r="BA124" s="73"/>
      <c r="BB124" s="81"/>
      <c r="BC124" s="80"/>
      <c r="BD124" s="73"/>
      <c r="BE124" s="73"/>
      <c r="BF124" s="73"/>
      <c r="BG124" s="73"/>
      <c r="BH124" s="73"/>
      <c r="BI124" s="73"/>
      <c r="BJ124" s="73"/>
      <c r="BK124" s="73"/>
      <c r="BL124" s="73"/>
      <c r="BM124" s="73"/>
      <c r="BN124" s="73"/>
      <c r="BO124" s="81"/>
    </row>
    <row r="125" spans="1:67" x14ac:dyDescent="0.3">
      <c r="A125" s="89" t="s">
        <v>237</v>
      </c>
      <c r="B125" s="89" t="s">
        <v>292</v>
      </c>
      <c r="C125" s="80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81"/>
      <c r="P125" s="80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81"/>
      <c r="AC125" s="80"/>
      <c r="AD125" s="73"/>
      <c r="AE125" s="73"/>
      <c r="AF125" s="73"/>
      <c r="AG125" s="73"/>
      <c r="AH125" s="73"/>
      <c r="AI125" s="73"/>
      <c r="AJ125" s="73"/>
      <c r="AK125" s="73"/>
      <c r="AL125" s="73"/>
      <c r="AM125" s="73"/>
      <c r="AN125" s="73"/>
      <c r="AO125" s="81"/>
      <c r="AP125" s="80"/>
      <c r="AQ125" s="73"/>
      <c r="AR125" s="73"/>
      <c r="AS125" s="73"/>
      <c r="AT125" s="73"/>
      <c r="AU125" s="73"/>
      <c r="AV125" s="73"/>
      <c r="AW125" s="73"/>
      <c r="AX125" s="73"/>
      <c r="AY125" s="73"/>
      <c r="AZ125" s="73"/>
      <c r="BA125" s="73"/>
      <c r="BB125" s="81"/>
      <c r="BC125" s="80"/>
      <c r="BD125" s="73"/>
      <c r="BE125" s="73"/>
      <c r="BF125" s="73"/>
      <c r="BG125" s="73"/>
      <c r="BH125" s="73"/>
      <c r="BI125" s="73"/>
      <c r="BJ125" s="73"/>
      <c r="BK125" s="73"/>
      <c r="BL125" s="73"/>
      <c r="BM125" s="73"/>
      <c r="BN125" s="73"/>
      <c r="BO125" s="81"/>
    </row>
    <row r="126" spans="1:67" x14ac:dyDescent="0.3">
      <c r="A126" s="89" t="s">
        <v>237</v>
      </c>
      <c r="B126" s="89" t="s">
        <v>294</v>
      </c>
      <c r="C126" s="80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81"/>
      <c r="P126" s="80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81"/>
      <c r="AC126" s="80"/>
      <c r="AD126" s="73"/>
      <c r="AE126" s="73"/>
      <c r="AF126" s="73"/>
      <c r="AG126" s="73"/>
      <c r="AH126" s="73"/>
      <c r="AI126" s="73"/>
      <c r="AJ126" s="73"/>
      <c r="AK126" s="73"/>
      <c r="AL126" s="73"/>
      <c r="AM126" s="73"/>
      <c r="AN126" s="73"/>
      <c r="AO126" s="81"/>
      <c r="AP126" s="80"/>
      <c r="AQ126" s="73"/>
      <c r="AR126" s="73"/>
      <c r="AS126" s="73"/>
      <c r="AT126" s="73"/>
      <c r="AU126" s="73"/>
      <c r="AV126" s="73"/>
      <c r="AW126" s="73"/>
      <c r="AX126" s="73"/>
      <c r="AY126" s="73"/>
      <c r="AZ126" s="73"/>
      <c r="BA126" s="73"/>
      <c r="BB126" s="81"/>
      <c r="BC126" s="80"/>
      <c r="BD126" s="73"/>
      <c r="BE126" s="73"/>
      <c r="BF126" s="73"/>
      <c r="BG126" s="73"/>
      <c r="BH126" s="73"/>
      <c r="BI126" s="73"/>
      <c r="BJ126" s="73"/>
      <c r="BK126" s="73"/>
      <c r="BL126" s="73"/>
      <c r="BM126" s="73"/>
      <c r="BN126" s="73"/>
      <c r="BO126" s="81"/>
    </row>
    <row r="127" spans="1:67" x14ac:dyDescent="0.3">
      <c r="A127" s="89" t="s">
        <v>237</v>
      </c>
      <c r="B127" s="89" t="s">
        <v>296</v>
      </c>
      <c r="C127" s="80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81"/>
      <c r="P127" s="80"/>
      <c r="Q127" s="73"/>
      <c r="R127" s="73"/>
      <c r="S127" s="73"/>
      <c r="T127" s="73"/>
      <c r="U127" s="73"/>
      <c r="V127" s="73"/>
      <c r="W127" s="73"/>
      <c r="X127" s="73"/>
      <c r="Y127" s="73"/>
      <c r="Z127" s="73"/>
      <c r="AA127" s="73"/>
      <c r="AB127" s="81"/>
      <c r="AC127" s="80"/>
      <c r="AD127" s="73"/>
      <c r="AE127" s="73"/>
      <c r="AF127" s="73"/>
      <c r="AG127" s="73"/>
      <c r="AH127" s="73"/>
      <c r="AI127" s="73"/>
      <c r="AJ127" s="73"/>
      <c r="AK127" s="73"/>
      <c r="AL127" s="73"/>
      <c r="AM127" s="73"/>
      <c r="AN127" s="73"/>
      <c r="AO127" s="81"/>
      <c r="AP127" s="80"/>
      <c r="AQ127" s="73"/>
      <c r="AR127" s="73"/>
      <c r="AS127" s="73"/>
      <c r="AT127" s="73"/>
      <c r="AU127" s="73"/>
      <c r="AV127" s="73"/>
      <c r="AW127" s="73"/>
      <c r="AX127" s="73"/>
      <c r="AY127" s="73"/>
      <c r="AZ127" s="73"/>
      <c r="BA127" s="73"/>
      <c r="BB127" s="81"/>
      <c r="BC127" s="80"/>
      <c r="BD127" s="73"/>
      <c r="BE127" s="73"/>
      <c r="BF127" s="73"/>
      <c r="BG127" s="73"/>
      <c r="BH127" s="73"/>
      <c r="BI127" s="73"/>
      <c r="BJ127" s="73"/>
      <c r="BK127" s="73"/>
      <c r="BL127" s="73"/>
      <c r="BM127" s="73"/>
      <c r="BN127" s="73"/>
      <c r="BO127" s="81"/>
    </row>
    <row r="128" spans="1:67" x14ac:dyDescent="0.3">
      <c r="A128" s="89" t="s">
        <v>237</v>
      </c>
      <c r="B128" s="89" t="s">
        <v>298</v>
      </c>
      <c r="C128" s="80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81"/>
      <c r="P128" s="80"/>
      <c r="Q128" s="73"/>
      <c r="R128" s="73"/>
      <c r="S128" s="73"/>
      <c r="T128" s="73"/>
      <c r="U128" s="73"/>
      <c r="V128" s="73"/>
      <c r="W128" s="73"/>
      <c r="X128" s="73"/>
      <c r="Y128" s="73"/>
      <c r="Z128" s="73"/>
      <c r="AA128" s="73"/>
      <c r="AB128" s="81"/>
      <c r="AC128" s="80"/>
      <c r="AD128" s="73"/>
      <c r="AE128" s="73"/>
      <c r="AF128" s="73"/>
      <c r="AG128" s="73"/>
      <c r="AH128" s="73"/>
      <c r="AI128" s="73"/>
      <c r="AJ128" s="73"/>
      <c r="AK128" s="73"/>
      <c r="AL128" s="73"/>
      <c r="AM128" s="73"/>
      <c r="AN128" s="73"/>
      <c r="AO128" s="81"/>
      <c r="AP128" s="80"/>
      <c r="AQ128" s="73"/>
      <c r="AR128" s="73"/>
      <c r="AS128" s="73"/>
      <c r="AT128" s="73"/>
      <c r="AU128" s="73"/>
      <c r="AV128" s="73"/>
      <c r="AW128" s="73"/>
      <c r="AX128" s="73"/>
      <c r="AY128" s="73"/>
      <c r="AZ128" s="73"/>
      <c r="BA128" s="73"/>
      <c r="BB128" s="81"/>
      <c r="BC128" s="80"/>
      <c r="BD128" s="73"/>
      <c r="BE128" s="73"/>
      <c r="BF128" s="73"/>
      <c r="BG128" s="73"/>
      <c r="BH128" s="73"/>
      <c r="BI128" s="73"/>
      <c r="BJ128" s="73"/>
      <c r="BK128" s="73"/>
      <c r="BL128" s="73"/>
      <c r="BM128" s="73"/>
      <c r="BN128" s="73"/>
      <c r="BO128" s="81"/>
    </row>
    <row r="129" spans="1:67" x14ac:dyDescent="0.3">
      <c r="A129" s="89" t="s">
        <v>237</v>
      </c>
      <c r="B129" s="89" t="s">
        <v>300</v>
      </c>
      <c r="C129" s="80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81"/>
      <c r="P129" s="80"/>
      <c r="Q129" s="73"/>
      <c r="R129" s="73"/>
      <c r="S129" s="73"/>
      <c r="T129" s="73"/>
      <c r="U129" s="73"/>
      <c r="V129" s="73"/>
      <c r="W129" s="73"/>
      <c r="X129" s="73"/>
      <c r="Y129" s="73"/>
      <c r="Z129" s="73"/>
      <c r="AA129" s="73"/>
      <c r="AB129" s="81"/>
      <c r="AC129" s="80"/>
      <c r="AD129" s="73"/>
      <c r="AE129" s="73"/>
      <c r="AF129" s="73"/>
      <c r="AG129" s="73"/>
      <c r="AH129" s="73"/>
      <c r="AI129" s="73"/>
      <c r="AJ129" s="73"/>
      <c r="AK129" s="73"/>
      <c r="AL129" s="73"/>
      <c r="AM129" s="73"/>
      <c r="AN129" s="73"/>
      <c r="AO129" s="81"/>
      <c r="AP129" s="80"/>
      <c r="AQ129" s="73"/>
      <c r="AR129" s="73"/>
      <c r="AS129" s="73"/>
      <c r="AT129" s="73"/>
      <c r="AU129" s="73"/>
      <c r="AV129" s="73"/>
      <c r="AW129" s="73"/>
      <c r="AX129" s="73"/>
      <c r="AY129" s="73"/>
      <c r="AZ129" s="73"/>
      <c r="BA129" s="73"/>
      <c r="BB129" s="81"/>
      <c r="BC129" s="80"/>
      <c r="BD129" s="73"/>
      <c r="BE129" s="73"/>
      <c r="BF129" s="73"/>
      <c r="BG129" s="73"/>
      <c r="BH129" s="73"/>
      <c r="BI129" s="73"/>
      <c r="BJ129" s="73"/>
      <c r="BK129" s="73"/>
      <c r="BL129" s="73"/>
      <c r="BM129" s="73"/>
      <c r="BN129" s="73"/>
      <c r="BO129" s="81"/>
    </row>
    <row r="130" spans="1:67" x14ac:dyDescent="0.3">
      <c r="A130" s="89" t="s">
        <v>237</v>
      </c>
      <c r="B130" s="89" t="s">
        <v>302</v>
      </c>
      <c r="C130" s="80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81"/>
      <c r="P130" s="80"/>
      <c r="Q130" s="73"/>
      <c r="R130" s="73"/>
      <c r="S130" s="73"/>
      <c r="T130" s="73"/>
      <c r="U130" s="73"/>
      <c r="V130" s="73"/>
      <c r="W130" s="73"/>
      <c r="X130" s="73"/>
      <c r="Y130" s="73"/>
      <c r="Z130" s="73"/>
      <c r="AA130" s="73"/>
      <c r="AB130" s="81"/>
      <c r="AC130" s="80"/>
      <c r="AD130" s="73"/>
      <c r="AE130" s="73"/>
      <c r="AF130" s="73"/>
      <c r="AG130" s="73"/>
      <c r="AH130" s="73"/>
      <c r="AI130" s="73"/>
      <c r="AJ130" s="73"/>
      <c r="AK130" s="73"/>
      <c r="AL130" s="73"/>
      <c r="AM130" s="73"/>
      <c r="AN130" s="73"/>
      <c r="AO130" s="81"/>
      <c r="AP130" s="80"/>
      <c r="AQ130" s="73"/>
      <c r="AR130" s="73"/>
      <c r="AS130" s="73"/>
      <c r="AT130" s="73"/>
      <c r="AU130" s="73"/>
      <c r="AV130" s="73"/>
      <c r="AW130" s="73"/>
      <c r="AX130" s="73"/>
      <c r="AY130" s="73"/>
      <c r="AZ130" s="73"/>
      <c r="BA130" s="73"/>
      <c r="BB130" s="81"/>
      <c r="BC130" s="80"/>
      <c r="BD130" s="73"/>
      <c r="BE130" s="73"/>
      <c r="BF130" s="73"/>
      <c r="BG130" s="73"/>
      <c r="BH130" s="73"/>
      <c r="BI130" s="73"/>
      <c r="BJ130" s="73"/>
      <c r="BK130" s="73"/>
      <c r="BL130" s="73"/>
      <c r="BM130" s="73"/>
      <c r="BN130" s="73"/>
      <c r="BO130" s="81"/>
    </row>
    <row r="131" spans="1:67" x14ac:dyDescent="0.3">
      <c r="A131" s="89" t="s">
        <v>237</v>
      </c>
      <c r="B131" s="89" t="s">
        <v>304</v>
      </c>
      <c r="C131" s="80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81"/>
      <c r="P131" s="80"/>
      <c r="Q131" s="73"/>
      <c r="R131" s="73"/>
      <c r="S131" s="73"/>
      <c r="T131" s="73"/>
      <c r="U131" s="73"/>
      <c r="V131" s="73"/>
      <c r="W131" s="73"/>
      <c r="X131" s="73"/>
      <c r="Y131" s="73"/>
      <c r="Z131" s="73"/>
      <c r="AA131" s="73"/>
      <c r="AB131" s="81"/>
      <c r="AC131" s="80"/>
      <c r="AD131" s="73"/>
      <c r="AE131" s="73"/>
      <c r="AF131" s="73"/>
      <c r="AG131" s="73"/>
      <c r="AH131" s="73"/>
      <c r="AI131" s="73"/>
      <c r="AJ131" s="73"/>
      <c r="AK131" s="73"/>
      <c r="AL131" s="73"/>
      <c r="AM131" s="73"/>
      <c r="AN131" s="73"/>
      <c r="AO131" s="81"/>
      <c r="AP131" s="80"/>
      <c r="AQ131" s="73"/>
      <c r="AR131" s="73"/>
      <c r="AS131" s="73"/>
      <c r="AT131" s="73"/>
      <c r="AU131" s="73"/>
      <c r="AV131" s="73"/>
      <c r="AW131" s="73"/>
      <c r="AX131" s="73"/>
      <c r="AY131" s="73"/>
      <c r="AZ131" s="73"/>
      <c r="BA131" s="73"/>
      <c r="BB131" s="81"/>
      <c r="BC131" s="80"/>
      <c r="BD131" s="73"/>
      <c r="BE131" s="73"/>
      <c r="BF131" s="73"/>
      <c r="BG131" s="73"/>
      <c r="BH131" s="73"/>
      <c r="BI131" s="73"/>
      <c r="BJ131" s="73"/>
      <c r="BK131" s="73"/>
      <c r="BL131" s="73"/>
      <c r="BM131" s="73"/>
      <c r="BN131" s="73"/>
      <c r="BO131" s="81"/>
    </row>
    <row r="132" spans="1:67" x14ac:dyDescent="0.3">
      <c r="A132" s="89" t="s">
        <v>237</v>
      </c>
      <c r="B132" s="89" t="s">
        <v>306</v>
      </c>
      <c r="C132" s="80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81"/>
      <c r="P132" s="80"/>
      <c r="Q132" s="73"/>
      <c r="R132" s="73"/>
      <c r="S132" s="73"/>
      <c r="T132" s="73"/>
      <c r="U132" s="73"/>
      <c r="V132" s="73"/>
      <c r="W132" s="73"/>
      <c r="X132" s="73"/>
      <c r="Y132" s="73"/>
      <c r="Z132" s="73"/>
      <c r="AA132" s="73"/>
      <c r="AB132" s="81"/>
      <c r="AC132" s="80"/>
      <c r="AD132" s="73"/>
      <c r="AE132" s="73"/>
      <c r="AF132" s="73"/>
      <c r="AG132" s="73"/>
      <c r="AH132" s="73"/>
      <c r="AI132" s="73"/>
      <c r="AJ132" s="73"/>
      <c r="AK132" s="73"/>
      <c r="AL132" s="73"/>
      <c r="AM132" s="73"/>
      <c r="AN132" s="73"/>
      <c r="AO132" s="81"/>
      <c r="AP132" s="80"/>
      <c r="AQ132" s="73"/>
      <c r="AR132" s="73"/>
      <c r="AS132" s="73"/>
      <c r="AT132" s="73"/>
      <c r="AU132" s="73"/>
      <c r="AV132" s="73"/>
      <c r="AW132" s="73"/>
      <c r="AX132" s="73"/>
      <c r="AY132" s="73"/>
      <c r="AZ132" s="73"/>
      <c r="BA132" s="73"/>
      <c r="BB132" s="81"/>
      <c r="BC132" s="80"/>
      <c r="BD132" s="73"/>
      <c r="BE132" s="73"/>
      <c r="BF132" s="73"/>
      <c r="BG132" s="73"/>
      <c r="BH132" s="73"/>
      <c r="BI132" s="73"/>
      <c r="BJ132" s="73"/>
      <c r="BK132" s="73"/>
      <c r="BL132" s="73"/>
      <c r="BM132" s="73"/>
      <c r="BN132" s="73"/>
      <c r="BO132" s="81"/>
    </row>
    <row r="133" spans="1:67" x14ac:dyDescent="0.3">
      <c r="A133" s="89" t="s">
        <v>237</v>
      </c>
      <c r="B133" s="89" t="s">
        <v>308</v>
      </c>
      <c r="C133" s="80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81"/>
      <c r="P133" s="80"/>
      <c r="Q133" s="73"/>
      <c r="R133" s="73"/>
      <c r="S133" s="73"/>
      <c r="T133" s="73"/>
      <c r="U133" s="73"/>
      <c r="V133" s="73"/>
      <c r="W133" s="73"/>
      <c r="X133" s="73"/>
      <c r="Y133" s="73"/>
      <c r="Z133" s="73"/>
      <c r="AA133" s="73"/>
      <c r="AB133" s="81"/>
      <c r="AC133" s="80"/>
      <c r="AD133" s="73"/>
      <c r="AE133" s="73"/>
      <c r="AF133" s="73"/>
      <c r="AG133" s="73"/>
      <c r="AH133" s="73"/>
      <c r="AI133" s="73"/>
      <c r="AJ133" s="73"/>
      <c r="AK133" s="73"/>
      <c r="AL133" s="73"/>
      <c r="AM133" s="73"/>
      <c r="AN133" s="73"/>
      <c r="AO133" s="81"/>
      <c r="AP133" s="80"/>
      <c r="AQ133" s="73"/>
      <c r="AR133" s="73"/>
      <c r="AS133" s="73"/>
      <c r="AT133" s="73"/>
      <c r="AU133" s="73"/>
      <c r="AV133" s="73"/>
      <c r="AW133" s="73"/>
      <c r="AX133" s="73"/>
      <c r="AY133" s="73"/>
      <c r="AZ133" s="73"/>
      <c r="BA133" s="73"/>
      <c r="BB133" s="81"/>
      <c r="BC133" s="80"/>
      <c r="BD133" s="73"/>
      <c r="BE133" s="73"/>
      <c r="BF133" s="73"/>
      <c r="BG133" s="73"/>
      <c r="BH133" s="73"/>
      <c r="BI133" s="73"/>
      <c r="BJ133" s="73"/>
      <c r="BK133" s="73"/>
      <c r="BL133" s="73"/>
      <c r="BM133" s="73"/>
      <c r="BN133" s="73"/>
      <c r="BO133" s="81"/>
    </row>
    <row r="134" spans="1:67" x14ac:dyDescent="0.3">
      <c r="A134" s="89" t="s">
        <v>237</v>
      </c>
      <c r="B134" s="89" t="s">
        <v>310</v>
      </c>
      <c r="C134" s="80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81"/>
      <c r="P134" s="80"/>
      <c r="Q134" s="73"/>
      <c r="R134" s="73"/>
      <c r="S134" s="73"/>
      <c r="T134" s="73"/>
      <c r="U134" s="73"/>
      <c r="V134" s="73"/>
      <c r="W134" s="73"/>
      <c r="X134" s="73"/>
      <c r="Y134" s="73"/>
      <c r="Z134" s="73"/>
      <c r="AA134" s="73"/>
      <c r="AB134" s="81"/>
      <c r="AC134" s="80"/>
      <c r="AD134" s="73"/>
      <c r="AE134" s="73"/>
      <c r="AF134" s="73"/>
      <c r="AG134" s="73"/>
      <c r="AH134" s="73"/>
      <c r="AI134" s="73"/>
      <c r="AJ134" s="73"/>
      <c r="AK134" s="73"/>
      <c r="AL134" s="73"/>
      <c r="AM134" s="73"/>
      <c r="AN134" s="73"/>
      <c r="AO134" s="81"/>
      <c r="AP134" s="80"/>
      <c r="AQ134" s="73"/>
      <c r="AR134" s="73"/>
      <c r="AS134" s="73"/>
      <c r="AT134" s="73"/>
      <c r="AU134" s="73"/>
      <c r="AV134" s="73"/>
      <c r="AW134" s="73"/>
      <c r="AX134" s="73"/>
      <c r="AY134" s="73"/>
      <c r="AZ134" s="73"/>
      <c r="BA134" s="73"/>
      <c r="BB134" s="81"/>
      <c r="BC134" s="80"/>
      <c r="BD134" s="73"/>
      <c r="BE134" s="73"/>
      <c r="BF134" s="73"/>
      <c r="BG134" s="73"/>
      <c r="BH134" s="73"/>
      <c r="BI134" s="73"/>
      <c r="BJ134" s="73"/>
      <c r="BK134" s="73"/>
      <c r="BL134" s="73"/>
      <c r="BM134" s="73"/>
      <c r="BN134" s="73"/>
      <c r="BO134" s="81"/>
    </row>
    <row r="135" spans="1:67" x14ac:dyDescent="0.3">
      <c r="A135" s="89" t="s">
        <v>237</v>
      </c>
      <c r="B135" s="89" t="s">
        <v>312</v>
      </c>
      <c r="C135" s="80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81"/>
      <c r="P135" s="80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81"/>
      <c r="AC135" s="80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81"/>
      <c r="AP135" s="80"/>
      <c r="AQ135" s="73"/>
      <c r="AR135" s="73"/>
      <c r="AS135" s="73"/>
      <c r="AT135" s="73"/>
      <c r="AU135" s="73"/>
      <c r="AV135" s="73"/>
      <c r="AW135" s="73"/>
      <c r="AX135" s="73"/>
      <c r="AY135" s="73"/>
      <c r="AZ135" s="73"/>
      <c r="BA135" s="73"/>
      <c r="BB135" s="81"/>
      <c r="BC135" s="80"/>
      <c r="BD135" s="73"/>
      <c r="BE135" s="73"/>
      <c r="BF135" s="73"/>
      <c r="BG135" s="73"/>
      <c r="BH135" s="73"/>
      <c r="BI135" s="73"/>
      <c r="BJ135" s="73"/>
      <c r="BK135" s="73"/>
      <c r="BL135" s="73"/>
      <c r="BM135" s="73"/>
      <c r="BN135" s="73"/>
      <c r="BO135" s="81"/>
    </row>
    <row r="136" spans="1:67" x14ac:dyDescent="0.3">
      <c r="A136" s="89" t="s">
        <v>237</v>
      </c>
      <c r="B136" s="89" t="s">
        <v>314</v>
      </c>
      <c r="C136" s="80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81"/>
      <c r="P136" s="80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81"/>
      <c r="AC136" s="80"/>
      <c r="AD136" s="73"/>
      <c r="AE136" s="73"/>
      <c r="AF136" s="73"/>
      <c r="AG136" s="73"/>
      <c r="AH136" s="73"/>
      <c r="AI136" s="73"/>
      <c r="AJ136" s="73"/>
      <c r="AK136" s="73"/>
      <c r="AL136" s="73"/>
      <c r="AM136" s="73"/>
      <c r="AN136" s="73"/>
      <c r="AO136" s="81"/>
      <c r="AP136" s="80"/>
      <c r="AQ136" s="73"/>
      <c r="AR136" s="73"/>
      <c r="AS136" s="73"/>
      <c r="AT136" s="73"/>
      <c r="AU136" s="73"/>
      <c r="AV136" s="73"/>
      <c r="AW136" s="73"/>
      <c r="AX136" s="73"/>
      <c r="AY136" s="73"/>
      <c r="AZ136" s="73"/>
      <c r="BA136" s="73"/>
      <c r="BB136" s="81"/>
      <c r="BC136" s="80"/>
      <c r="BD136" s="73"/>
      <c r="BE136" s="73"/>
      <c r="BF136" s="73"/>
      <c r="BG136" s="73"/>
      <c r="BH136" s="73"/>
      <c r="BI136" s="73"/>
      <c r="BJ136" s="73"/>
      <c r="BK136" s="73"/>
      <c r="BL136" s="73"/>
      <c r="BM136" s="73"/>
      <c r="BN136" s="73"/>
      <c r="BO136" s="81"/>
    </row>
    <row r="137" spans="1:67" x14ac:dyDescent="0.3">
      <c r="A137" s="89" t="s">
        <v>237</v>
      </c>
      <c r="B137" s="89" t="s">
        <v>316</v>
      </c>
      <c r="C137" s="80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81"/>
      <c r="P137" s="80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81"/>
      <c r="AC137" s="80"/>
      <c r="AD137" s="73"/>
      <c r="AE137" s="73"/>
      <c r="AF137" s="73"/>
      <c r="AG137" s="73"/>
      <c r="AH137" s="73"/>
      <c r="AI137" s="73"/>
      <c r="AJ137" s="73"/>
      <c r="AK137" s="73"/>
      <c r="AL137" s="73"/>
      <c r="AM137" s="73"/>
      <c r="AN137" s="73"/>
      <c r="AO137" s="81"/>
      <c r="AP137" s="80"/>
      <c r="AQ137" s="73"/>
      <c r="AR137" s="73"/>
      <c r="AS137" s="73"/>
      <c r="AT137" s="73"/>
      <c r="AU137" s="73"/>
      <c r="AV137" s="73"/>
      <c r="AW137" s="73"/>
      <c r="AX137" s="73"/>
      <c r="AY137" s="73"/>
      <c r="AZ137" s="73"/>
      <c r="BA137" s="73"/>
      <c r="BB137" s="81"/>
      <c r="BC137" s="80"/>
      <c r="BD137" s="73"/>
      <c r="BE137" s="73"/>
      <c r="BF137" s="73"/>
      <c r="BG137" s="73"/>
      <c r="BH137" s="73"/>
      <c r="BI137" s="73"/>
      <c r="BJ137" s="73"/>
      <c r="BK137" s="73"/>
      <c r="BL137" s="73"/>
      <c r="BM137" s="73"/>
      <c r="BN137" s="73"/>
      <c r="BO137" s="81"/>
    </row>
    <row r="138" spans="1:67" x14ac:dyDescent="0.3">
      <c r="A138" s="89" t="s">
        <v>237</v>
      </c>
      <c r="B138" s="89" t="s">
        <v>318</v>
      </c>
      <c r="C138" s="80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81"/>
      <c r="P138" s="80"/>
      <c r="Q138" s="73"/>
      <c r="R138" s="73"/>
      <c r="S138" s="73"/>
      <c r="T138" s="73"/>
      <c r="U138" s="73"/>
      <c r="V138" s="73"/>
      <c r="W138" s="73"/>
      <c r="X138" s="73"/>
      <c r="Y138" s="73"/>
      <c r="Z138" s="73"/>
      <c r="AA138" s="73"/>
      <c r="AB138" s="81"/>
      <c r="AC138" s="80"/>
      <c r="AD138" s="73"/>
      <c r="AE138" s="73"/>
      <c r="AF138" s="73"/>
      <c r="AG138" s="73"/>
      <c r="AH138" s="73"/>
      <c r="AI138" s="73"/>
      <c r="AJ138" s="73"/>
      <c r="AK138" s="73"/>
      <c r="AL138" s="73"/>
      <c r="AM138" s="73"/>
      <c r="AN138" s="73"/>
      <c r="AO138" s="81"/>
      <c r="AP138" s="80"/>
      <c r="AQ138" s="73"/>
      <c r="AR138" s="73"/>
      <c r="AS138" s="73"/>
      <c r="AT138" s="73"/>
      <c r="AU138" s="73"/>
      <c r="AV138" s="73"/>
      <c r="AW138" s="73"/>
      <c r="AX138" s="73"/>
      <c r="AY138" s="73"/>
      <c r="AZ138" s="73"/>
      <c r="BA138" s="73"/>
      <c r="BB138" s="81"/>
      <c r="BC138" s="80"/>
      <c r="BD138" s="73"/>
      <c r="BE138" s="73"/>
      <c r="BF138" s="73"/>
      <c r="BG138" s="73"/>
      <c r="BH138" s="73"/>
      <c r="BI138" s="73"/>
      <c r="BJ138" s="73"/>
      <c r="BK138" s="73"/>
      <c r="BL138" s="73"/>
      <c r="BM138" s="73"/>
      <c r="BN138" s="73"/>
      <c r="BO138" s="81"/>
    </row>
    <row r="139" spans="1:67" x14ac:dyDescent="0.3">
      <c r="A139" s="89" t="s">
        <v>237</v>
      </c>
      <c r="B139" s="89" t="s">
        <v>320</v>
      </c>
      <c r="C139" s="80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81"/>
      <c r="P139" s="80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81"/>
      <c r="AC139" s="80"/>
      <c r="AD139" s="73"/>
      <c r="AE139" s="73"/>
      <c r="AF139" s="73"/>
      <c r="AG139" s="73"/>
      <c r="AH139" s="73"/>
      <c r="AI139" s="73"/>
      <c r="AJ139" s="73"/>
      <c r="AK139" s="73"/>
      <c r="AL139" s="73"/>
      <c r="AM139" s="73"/>
      <c r="AN139" s="73"/>
      <c r="AO139" s="81"/>
      <c r="AP139" s="80"/>
      <c r="AQ139" s="73"/>
      <c r="AR139" s="73"/>
      <c r="AS139" s="73"/>
      <c r="AT139" s="73"/>
      <c r="AU139" s="73"/>
      <c r="AV139" s="73"/>
      <c r="AW139" s="73"/>
      <c r="AX139" s="73"/>
      <c r="AY139" s="73"/>
      <c r="AZ139" s="73"/>
      <c r="BA139" s="73"/>
      <c r="BB139" s="81"/>
      <c r="BC139" s="80"/>
      <c r="BD139" s="73"/>
      <c r="BE139" s="73"/>
      <c r="BF139" s="73"/>
      <c r="BG139" s="73"/>
      <c r="BH139" s="73"/>
      <c r="BI139" s="73"/>
      <c r="BJ139" s="73"/>
      <c r="BK139" s="73"/>
      <c r="BL139" s="73"/>
      <c r="BM139" s="73"/>
      <c r="BN139" s="73"/>
      <c r="BO139" s="81"/>
    </row>
    <row r="140" spans="1:67" x14ac:dyDescent="0.3">
      <c r="A140" s="89" t="s">
        <v>237</v>
      </c>
      <c r="B140" s="89" t="s">
        <v>322</v>
      </c>
      <c r="C140" s="80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81"/>
      <c r="P140" s="80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81"/>
      <c r="AC140" s="80"/>
      <c r="AD140" s="73"/>
      <c r="AE140" s="73"/>
      <c r="AF140" s="73"/>
      <c r="AG140" s="73"/>
      <c r="AH140" s="73"/>
      <c r="AI140" s="73"/>
      <c r="AJ140" s="73"/>
      <c r="AK140" s="73"/>
      <c r="AL140" s="73"/>
      <c r="AM140" s="73"/>
      <c r="AN140" s="73"/>
      <c r="AO140" s="81"/>
      <c r="AP140" s="80"/>
      <c r="AQ140" s="73"/>
      <c r="AR140" s="73"/>
      <c r="AS140" s="73"/>
      <c r="AT140" s="73"/>
      <c r="AU140" s="73"/>
      <c r="AV140" s="73"/>
      <c r="AW140" s="73"/>
      <c r="AX140" s="73"/>
      <c r="AY140" s="73"/>
      <c r="AZ140" s="73"/>
      <c r="BA140" s="73"/>
      <c r="BB140" s="81"/>
      <c r="BC140" s="80"/>
      <c r="BD140" s="73"/>
      <c r="BE140" s="73"/>
      <c r="BF140" s="73"/>
      <c r="BG140" s="73"/>
      <c r="BH140" s="73"/>
      <c r="BI140" s="73"/>
      <c r="BJ140" s="73"/>
      <c r="BK140" s="73"/>
      <c r="BL140" s="73"/>
      <c r="BM140" s="73"/>
      <c r="BN140" s="73"/>
      <c r="BO140" s="81"/>
    </row>
    <row r="141" spans="1:67" x14ac:dyDescent="0.3">
      <c r="A141" s="89" t="s">
        <v>237</v>
      </c>
      <c r="B141" s="89" t="s">
        <v>324</v>
      </c>
      <c r="C141" s="80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81"/>
      <c r="P141" s="80"/>
      <c r="Q141" s="73"/>
      <c r="R141" s="73"/>
      <c r="S141" s="73"/>
      <c r="T141" s="73"/>
      <c r="U141" s="73"/>
      <c r="V141" s="73"/>
      <c r="W141" s="73"/>
      <c r="X141" s="73"/>
      <c r="Y141" s="73"/>
      <c r="Z141" s="73"/>
      <c r="AA141" s="73"/>
      <c r="AB141" s="81"/>
      <c r="AC141" s="80"/>
      <c r="AD141" s="73"/>
      <c r="AE141" s="73"/>
      <c r="AF141" s="73"/>
      <c r="AG141" s="73"/>
      <c r="AH141" s="73"/>
      <c r="AI141" s="73"/>
      <c r="AJ141" s="73"/>
      <c r="AK141" s="73"/>
      <c r="AL141" s="73"/>
      <c r="AM141" s="73"/>
      <c r="AN141" s="73"/>
      <c r="AO141" s="81"/>
      <c r="AP141" s="80"/>
      <c r="AQ141" s="73"/>
      <c r="AR141" s="73"/>
      <c r="AS141" s="73"/>
      <c r="AT141" s="73"/>
      <c r="AU141" s="73"/>
      <c r="AV141" s="73"/>
      <c r="AW141" s="73"/>
      <c r="AX141" s="73"/>
      <c r="AY141" s="73"/>
      <c r="AZ141" s="73"/>
      <c r="BA141" s="73"/>
      <c r="BB141" s="81"/>
      <c r="BC141" s="80"/>
      <c r="BD141" s="73"/>
      <c r="BE141" s="73"/>
      <c r="BF141" s="73"/>
      <c r="BG141" s="73"/>
      <c r="BH141" s="73"/>
      <c r="BI141" s="73"/>
      <c r="BJ141" s="73"/>
      <c r="BK141" s="73"/>
      <c r="BL141" s="73"/>
      <c r="BM141" s="73"/>
      <c r="BN141" s="73"/>
      <c r="BO141" s="81"/>
    </row>
    <row r="142" spans="1:67" x14ac:dyDescent="0.3">
      <c r="A142" s="89" t="s">
        <v>237</v>
      </c>
      <c r="B142" s="89" t="s">
        <v>326</v>
      </c>
      <c r="C142" s="80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81"/>
      <c r="P142" s="80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81"/>
      <c r="AC142" s="80"/>
      <c r="AD142" s="73"/>
      <c r="AE142" s="73"/>
      <c r="AF142" s="73"/>
      <c r="AG142" s="73"/>
      <c r="AH142" s="73"/>
      <c r="AI142" s="73"/>
      <c r="AJ142" s="73"/>
      <c r="AK142" s="73"/>
      <c r="AL142" s="73"/>
      <c r="AM142" s="73"/>
      <c r="AN142" s="73"/>
      <c r="AO142" s="81"/>
      <c r="AP142" s="80"/>
      <c r="AQ142" s="73"/>
      <c r="AR142" s="73"/>
      <c r="AS142" s="73"/>
      <c r="AT142" s="73"/>
      <c r="AU142" s="73"/>
      <c r="AV142" s="73"/>
      <c r="AW142" s="73"/>
      <c r="AX142" s="73"/>
      <c r="AY142" s="73"/>
      <c r="AZ142" s="73"/>
      <c r="BA142" s="73"/>
      <c r="BB142" s="81"/>
      <c r="BC142" s="80"/>
      <c r="BD142" s="73"/>
      <c r="BE142" s="73"/>
      <c r="BF142" s="73"/>
      <c r="BG142" s="73"/>
      <c r="BH142" s="73"/>
      <c r="BI142" s="73"/>
      <c r="BJ142" s="73"/>
      <c r="BK142" s="73"/>
      <c r="BL142" s="73"/>
      <c r="BM142" s="73"/>
      <c r="BN142" s="73"/>
      <c r="BO142" s="81"/>
    </row>
    <row r="143" spans="1:67" x14ac:dyDescent="0.3">
      <c r="A143" s="89" t="s">
        <v>237</v>
      </c>
      <c r="B143" s="89" t="s">
        <v>328</v>
      </c>
      <c r="C143" s="80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81"/>
      <c r="P143" s="80"/>
      <c r="Q143" s="73"/>
      <c r="R143" s="73"/>
      <c r="S143" s="73"/>
      <c r="T143" s="73"/>
      <c r="U143" s="73"/>
      <c r="V143" s="73"/>
      <c r="W143" s="73"/>
      <c r="X143" s="73"/>
      <c r="Y143" s="73"/>
      <c r="Z143" s="73"/>
      <c r="AA143" s="73"/>
      <c r="AB143" s="81"/>
      <c r="AC143" s="80"/>
      <c r="AD143" s="73"/>
      <c r="AE143" s="73"/>
      <c r="AF143" s="73"/>
      <c r="AG143" s="73"/>
      <c r="AH143" s="73"/>
      <c r="AI143" s="73"/>
      <c r="AJ143" s="73"/>
      <c r="AK143" s="73"/>
      <c r="AL143" s="73"/>
      <c r="AM143" s="73"/>
      <c r="AN143" s="73"/>
      <c r="AO143" s="81"/>
      <c r="AP143" s="80"/>
      <c r="AQ143" s="73"/>
      <c r="AR143" s="73"/>
      <c r="AS143" s="73"/>
      <c r="AT143" s="73"/>
      <c r="AU143" s="73"/>
      <c r="AV143" s="73"/>
      <c r="AW143" s="73"/>
      <c r="AX143" s="73"/>
      <c r="AY143" s="73"/>
      <c r="AZ143" s="73"/>
      <c r="BA143" s="73"/>
      <c r="BB143" s="81"/>
      <c r="BC143" s="80"/>
      <c r="BD143" s="73"/>
      <c r="BE143" s="73"/>
      <c r="BF143" s="73"/>
      <c r="BG143" s="73"/>
      <c r="BH143" s="73"/>
      <c r="BI143" s="73"/>
      <c r="BJ143" s="73"/>
      <c r="BK143" s="73"/>
      <c r="BL143" s="73"/>
      <c r="BM143" s="73"/>
      <c r="BN143" s="73"/>
      <c r="BO143" s="81"/>
    </row>
    <row r="144" spans="1:67" x14ac:dyDescent="0.3">
      <c r="A144" s="89" t="s">
        <v>237</v>
      </c>
      <c r="B144" s="89" t="s">
        <v>330</v>
      </c>
      <c r="C144" s="80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81"/>
      <c r="P144" s="80"/>
      <c r="Q144" s="73"/>
      <c r="R144" s="73"/>
      <c r="S144" s="73"/>
      <c r="T144" s="73"/>
      <c r="U144" s="73"/>
      <c r="V144" s="73"/>
      <c r="W144" s="73"/>
      <c r="X144" s="73"/>
      <c r="Y144" s="73"/>
      <c r="Z144" s="73"/>
      <c r="AA144" s="73"/>
      <c r="AB144" s="81"/>
      <c r="AC144" s="80"/>
      <c r="AD144" s="73"/>
      <c r="AE144" s="73"/>
      <c r="AF144" s="73"/>
      <c r="AG144" s="73"/>
      <c r="AH144" s="73"/>
      <c r="AI144" s="73"/>
      <c r="AJ144" s="73"/>
      <c r="AK144" s="73"/>
      <c r="AL144" s="73"/>
      <c r="AM144" s="73"/>
      <c r="AN144" s="73"/>
      <c r="AO144" s="81"/>
      <c r="AP144" s="80"/>
      <c r="AQ144" s="73"/>
      <c r="AR144" s="73"/>
      <c r="AS144" s="73"/>
      <c r="AT144" s="73"/>
      <c r="AU144" s="73"/>
      <c r="AV144" s="73"/>
      <c r="AW144" s="73"/>
      <c r="AX144" s="73"/>
      <c r="AY144" s="73"/>
      <c r="AZ144" s="73"/>
      <c r="BA144" s="73"/>
      <c r="BB144" s="81"/>
      <c r="BC144" s="80"/>
      <c r="BD144" s="73"/>
      <c r="BE144" s="73"/>
      <c r="BF144" s="73"/>
      <c r="BG144" s="73"/>
      <c r="BH144" s="73"/>
      <c r="BI144" s="73"/>
      <c r="BJ144" s="73"/>
      <c r="BK144" s="73"/>
      <c r="BL144" s="73"/>
      <c r="BM144" s="73"/>
      <c r="BN144" s="73"/>
      <c r="BO144" s="81"/>
    </row>
    <row r="145" spans="1:67" x14ac:dyDescent="0.3">
      <c r="A145" s="89" t="s">
        <v>237</v>
      </c>
      <c r="B145" s="89" t="s">
        <v>332</v>
      </c>
      <c r="C145" s="80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81"/>
      <c r="P145" s="80"/>
      <c r="Q145" s="73"/>
      <c r="R145" s="73"/>
      <c r="S145" s="73"/>
      <c r="T145" s="73"/>
      <c r="U145" s="73"/>
      <c r="V145" s="73"/>
      <c r="W145" s="73"/>
      <c r="X145" s="73"/>
      <c r="Y145" s="73"/>
      <c r="Z145" s="73"/>
      <c r="AA145" s="73"/>
      <c r="AB145" s="81"/>
      <c r="AC145" s="80"/>
      <c r="AD145" s="73"/>
      <c r="AE145" s="73"/>
      <c r="AF145" s="73"/>
      <c r="AG145" s="73"/>
      <c r="AH145" s="73"/>
      <c r="AI145" s="73"/>
      <c r="AJ145" s="73"/>
      <c r="AK145" s="73"/>
      <c r="AL145" s="73"/>
      <c r="AM145" s="73"/>
      <c r="AN145" s="73"/>
      <c r="AO145" s="81"/>
      <c r="AP145" s="80"/>
      <c r="AQ145" s="73"/>
      <c r="AR145" s="73"/>
      <c r="AS145" s="73"/>
      <c r="AT145" s="73"/>
      <c r="AU145" s="73"/>
      <c r="AV145" s="73"/>
      <c r="AW145" s="73"/>
      <c r="AX145" s="73"/>
      <c r="AY145" s="73"/>
      <c r="AZ145" s="73"/>
      <c r="BA145" s="73"/>
      <c r="BB145" s="81"/>
      <c r="BC145" s="80"/>
      <c r="BD145" s="73"/>
      <c r="BE145" s="73"/>
      <c r="BF145" s="73"/>
      <c r="BG145" s="73"/>
      <c r="BH145" s="73"/>
      <c r="BI145" s="73"/>
      <c r="BJ145" s="73"/>
      <c r="BK145" s="73"/>
      <c r="BL145" s="73"/>
      <c r="BM145" s="73"/>
      <c r="BN145" s="73"/>
      <c r="BO145" s="81"/>
    </row>
    <row r="146" spans="1:67" x14ac:dyDescent="0.3">
      <c r="A146" s="89" t="s">
        <v>237</v>
      </c>
      <c r="B146" s="89" t="s">
        <v>334</v>
      </c>
      <c r="C146" s="80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81"/>
      <c r="P146" s="80"/>
      <c r="Q146" s="73"/>
      <c r="R146" s="73"/>
      <c r="S146" s="73"/>
      <c r="T146" s="73"/>
      <c r="U146" s="73"/>
      <c r="V146" s="73"/>
      <c r="W146" s="73"/>
      <c r="X146" s="73"/>
      <c r="Y146" s="73"/>
      <c r="Z146" s="73"/>
      <c r="AA146" s="73"/>
      <c r="AB146" s="81"/>
      <c r="AC146" s="80"/>
      <c r="AD146" s="73"/>
      <c r="AE146" s="73"/>
      <c r="AF146" s="73"/>
      <c r="AG146" s="73"/>
      <c r="AH146" s="73"/>
      <c r="AI146" s="73"/>
      <c r="AJ146" s="73"/>
      <c r="AK146" s="73"/>
      <c r="AL146" s="73"/>
      <c r="AM146" s="73"/>
      <c r="AN146" s="73"/>
      <c r="AO146" s="81"/>
      <c r="AP146" s="80"/>
      <c r="AQ146" s="73"/>
      <c r="AR146" s="73"/>
      <c r="AS146" s="73"/>
      <c r="AT146" s="73"/>
      <c r="AU146" s="73"/>
      <c r="AV146" s="73"/>
      <c r="AW146" s="73"/>
      <c r="AX146" s="73"/>
      <c r="AY146" s="73"/>
      <c r="AZ146" s="73"/>
      <c r="BA146" s="73"/>
      <c r="BB146" s="81"/>
      <c r="BC146" s="80"/>
      <c r="BD146" s="73"/>
      <c r="BE146" s="73"/>
      <c r="BF146" s="73"/>
      <c r="BG146" s="73"/>
      <c r="BH146" s="73"/>
      <c r="BI146" s="73"/>
      <c r="BJ146" s="73"/>
      <c r="BK146" s="73"/>
      <c r="BL146" s="73"/>
      <c r="BM146" s="73"/>
      <c r="BN146" s="73"/>
      <c r="BO146" s="81"/>
    </row>
    <row r="147" spans="1:67" x14ac:dyDescent="0.3">
      <c r="A147" s="89" t="s">
        <v>237</v>
      </c>
      <c r="B147" s="89" t="s">
        <v>336</v>
      </c>
      <c r="C147" s="80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81"/>
      <c r="P147" s="80"/>
      <c r="Q147" s="73"/>
      <c r="R147" s="73"/>
      <c r="S147" s="73"/>
      <c r="T147" s="73"/>
      <c r="U147" s="73"/>
      <c r="V147" s="73"/>
      <c r="W147" s="73"/>
      <c r="X147" s="73"/>
      <c r="Y147" s="73"/>
      <c r="Z147" s="73"/>
      <c r="AA147" s="73"/>
      <c r="AB147" s="81"/>
      <c r="AC147" s="80"/>
      <c r="AD147" s="73"/>
      <c r="AE147" s="73"/>
      <c r="AF147" s="73"/>
      <c r="AG147" s="73"/>
      <c r="AH147" s="73"/>
      <c r="AI147" s="73"/>
      <c r="AJ147" s="73"/>
      <c r="AK147" s="73"/>
      <c r="AL147" s="73"/>
      <c r="AM147" s="73"/>
      <c r="AN147" s="73"/>
      <c r="AO147" s="81"/>
      <c r="AP147" s="80"/>
      <c r="AQ147" s="73"/>
      <c r="AR147" s="73"/>
      <c r="AS147" s="73"/>
      <c r="AT147" s="73"/>
      <c r="AU147" s="73"/>
      <c r="AV147" s="73"/>
      <c r="AW147" s="73"/>
      <c r="AX147" s="73"/>
      <c r="AY147" s="73"/>
      <c r="AZ147" s="73"/>
      <c r="BA147" s="73"/>
      <c r="BB147" s="81"/>
      <c r="BC147" s="80"/>
      <c r="BD147" s="73"/>
      <c r="BE147" s="73"/>
      <c r="BF147" s="73"/>
      <c r="BG147" s="73"/>
      <c r="BH147" s="73"/>
      <c r="BI147" s="73"/>
      <c r="BJ147" s="73"/>
      <c r="BK147" s="73"/>
      <c r="BL147" s="73"/>
      <c r="BM147" s="73"/>
      <c r="BN147" s="73"/>
      <c r="BO147" s="81"/>
    </row>
    <row r="148" spans="1:67" x14ac:dyDescent="0.3">
      <c r="A148" s="89" t="s">
        <v>237</v>
      </c>
      <c r="B148" s="89" t="s">
        <v>338</v>
      </c>
      <c r="C148" s="80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81"/>
      <c r="P148" s="80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81"/>
      <c r="AC148" s="80"/>
      <c r="AD148" s="73"/>
      <c r="AE148" s="73"/>
      <c r="AF148" s="73"/>
      <c r="AG148" s="73"/>
      <c r="AH148" s="73"/>
      <c r="AI148" s="73"/>
      <c r="AJ148" s="73"/>
      <c r="AK148" s="73"/>
      <c r="AL148" s="73"/>
      <c r="AM148" s="73"/>
      <c r="AN148" s="73"/>
      <c r="AO148" s="81"/>
      <c r="AP148" s="80"/>
      <c r="AQ148" s="73"/>
      <c r="AR148" s="73"/>
      <c r="AS148" s="73"/>
      <c r="AT148" s="73"/>
      <c r="AU148" s="73"/>
      <c r="AV148" s="73"/>
      <c r="AW148" s="73"/>
      <c r="AX148" s="73"/>
      <c r="AY148" s="73"/>
      <c r="AZ148" s="73"/>
      <c r="BA148" s="73"/>
      <c r="BB148" s="81"/>
      <c r="BC148" s="80"/>
      <c r="BD148" s="73"/>
      <c r="BE148" s="73"/>
      <c r="BF148" s="73"/>
      <c r="BG148" s="73"/>
      <c r="BH148" s="73"/>
      <c r="BI148" s="73"/>
      <c r="BJ148" s="73"/>
      <c r="BK148" s="73"/>
      <c r="BL148" s="73"/>
      <c r="BM148" s="73"/>
      <c r="BN148" s="73"/>
      <c r="BO148" s="81"/>
    </row>
    <row r="149" spans="1:67" x14ac:dyDescent="0.3">
      <c r="A149" s="89" t="s">
        <v>237</v>
      </c>
      <c r="B149" s="89" t="s">
        <v>340</v>
      </c>
      <c r="C149" s="80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81"/>
      <c r="P149" s="80"/>
      <c r="Q149" s="73"/>
      <c r="R149" s="73"/>
      <c r="S149" s="73"/>
      <c r="T149" s="73"/>
      <c r="U149" s="73"/>
      <c r="V149" s="73"/>
      <c r="W149" s="73"/>
      <c r="X149" s="73"/>
      <c r="Y149" s="73"/>
      <c r="Z149" s="73"/>
      <c r="AA149" s="73"/>
      <c r="AB149" s="81"/>
      <c r="AC149" s="80"/>
      <c r="AD149" s="73"/>
      <c r="AE149" s="73"/>
      <c r="AF149" s="73"/>
      <c r="AG149" s="73"/>
      <c r="AH149" s="73"/>
      <c r="AI149" s="73"/>
      <c r="AJ149" s="73"/>
      <c r="AK149" s="73"/>
      <c r="AL149" s="73"/>
      <c r="AM149" s="73"/>
      <c r="AN149" s="73"/>
      <c r="AO149" s="81"/>
      <c r="AP149" s="80"/>
      <c r="AQ149" s="73"/>
      <c r="AR149" s="73"/>
      <c r="AS149" s="73"/>
      <c r="AT149" s="73"/>
      <c r="AU149" s="73"/>
      <c r="AV149" s="73"/>
      <c r="AW149" s="73"/>
      <c r="AX149" s="73"/>
      <c r="AY149" s="73"/>
      <c r="AZ149" s="73"/>
      <c r="BA149" s="73"/>
      <c r="BB149" s="81"/>
      <c r="BC149" s="80"/>
      <c r="BD149" s="73"/>
      <c r="BE149" s="73"/>
      <c r="BF149" s="73"/>
      <c r="BG149" s="73"/>
      <c r="BH149" s="73"/>
      <c r="BI149" s="73"/>
      <c r="BJ149" s="73"/>
      <c r="BK149" s="73"/>
      <c r="BL149" s="73"/>
      <c r="BM149" s="73"/>
      <c r="BN149" s="73"/>
      <c r="BO149" s="81"/>
    </row>
    <row r="150" spans="1:67" x14ac:dyDescent="0.3">
      <c r="A150" s="89" t="s">
        <v>237</v>
      </c>
      <c r="B150" s="89" t="s">
        <v>342</v>
      </c>
      <c r="C150" s="80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81"/>
      <c r="P150" s="80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81"/>
      <c r="AC150" s="80"/>
      <c r="AD150" s="73"/>
      <c r="AE150" s="73"/>
      <c r="AF150" s="73"/>
      <c r="AG150" s="73"/>
      <c r="AH150" s="73"/>
      <c r="AI150" s="73"/>
      <c r="AJ150" s="73"/>
      <c r="AK150" s="73"/>
      <c r="AL150" s="73"/>
      <c r="AM150" s="73"/>
      <c r="AN150" s="73"/>
      <c r="AO150" s="81"/>
      <c r="AP150" s="80"/>
      <c r="AQ150" s="73"/>
      <c r="AR150" s="73"/>
      <c r="AS150" s="73"/>
      <c r="AT150" s="73"/>
      <c r="AU150" s="73"/>
      <c r="AV150" s="73"/>
      <c r="AW150" s="73"/>
      <c r="AX150" s="73"/>
      <c r="AY150" s="73"/>
      <c r="AZ150" s="73"/>
      <c r="BA150" s="73"/>
      <c r="BB150" s="81"/>
      <c r="BC150" s="80"/>
      <c r="BD150" s="73"/>
      <c r="BE150" s="73"/>
      <c r="BF150" s="73"/>
      <c r="BG150" s="73"/>
      <c r="BH150" s="73"/>
      <c r="BI150" s="73"/>
      <c r="BJ150" s="73"/>
      <c r="BK150" s="73"/>
      <c r="BL150" s="73"/>
      <c r="BM150" s="73"/>
      <c r="BN150" s="73"/>
      <c r="BO150" s="81"/>
    </row>
    <row r="151" spans="1:67" x14ac:dyDescent="0.3">
      <c r="A151" s="89" t="s">
        <v>237</v>
      </c>
      <c r="B151" s="89" t="s">
        <v>344</v>
      </c>
      <c r="C151" s="80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81"/>
      <c r="P151" s="80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81"/>
      <c r="AC151" s="80"/>
      <c r="AD151" s="73"/>
      <c r="AE151" s="73"/>
      <c r="AF151" s="73"/>
      <c r="AG151" s="73"/>
      <c r="AH151" s="73"/>
      <c r="AI151" s="73"/>
      <c r="AJ151" s="73"/>
      <c r="AK151" s="73"/>
      <c r="AL151" s="73"/>
      <c r="AM151" s="73"/>
      <c r="AN151" s="73"/>
      <c r="AO151" s="81"/>
      <c r="AP151" s="80"/>
      <c r="AQ151" s="73"/>
      <c r="AR151" s="73"/>
      <c r="AS151" s="73"/>
      <c r="AT151" s="73"/>
      <c r="AU151" s="73"/>
      <c r="AV151" s="73"/>
      <c r="AW151" s="73"/>
      <c r="AX151" s="73"/>
      <c r="AY151" s="73"/>
      <c r="AZ151" s="73"/>
      <c r="BA151" s="73"/>
      <c r="BB151" s="81"/>
      <c r="BC151" s="80"/>
      <c r="BD151" s="73"/>
      <c r="BE151" s="73"/>
      <c r="BF151" s="73"/>
      <c r="BG151" s="73"/>
      <c r="BH151" s="73"/>
      <c r="BI151" s="73"/>
      <c r="BJ151" s="73"/>
      <c r="BK151" s="73"/>
      <c r="BL151" s="73"/>
      <c r="BM151" s="73"/>
      <c r="BN151" s="73"/>
      <c r="BO151" s="81"/>
    </row>
    <row r="152" spans="1:67" x14ac:dyDescent="0.3">
      <c r="A152" s="89" t="s">
        <v>237</v>
      </c>
      <c r="B152" s="89" t="s">
        <v>346</v>
      </c>
      <c r="C152" s="80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81"/>
      <c r="P152" s="80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81"/>
      <c r="AC152" s="80"/>
      <c r="AD152" s="73"/>
      <c r="AE152" s="73"/>
      <c r="AF152" s="73"/>
      <c r="AG152" s="73"/>
      <c r="AH152" s="73"/>
      <c r="AI152" s="73"/>
      <c r="AJ152" s="73"/>
      <c r="AK152" s="73"/>
      <c r="AL152" s="73"/>
      <c r="AM152" s="73"/>
      <c r="AN152" s="73"/>
      <c r="AO152" s="81"/>
      <c r="AP152" s="80"/>
      <c r="AQ152" s="73"/>
      <c r="AR152" s="73"/>
      <c r="AS152" s="73"/>
      <c r="AT152" s="73"/>
      <c r="AU152" s="73"/>
      <c r="AV152" s="73"/>
      <c r="AW152" s="73"/>
      <c r="AX152" s="73"/>
      <c r="AY152" s="73"/>
      <c r="AZ152" s="73"/>
      <c r="BA152" s="73"/>
      <c r="BB152" s="81"/>
      <c r="BC152" s="80"/>
      <c r="BD152" s="73"/>
      <c r="BE152" s="73"/>
      <c r="BF152" s="73"/>
      <c r="BG152" s="73"/>
      <c r="BH152" s="73"/>
      <c r="BI152" s="73"/>
      <c r="BJ152" s="73"/>
      <c r="BK152" s="73"/>
      <c r="BL152" s="73"/>
      <c r="BM152" s="73"/>
      <c r="BN152" s="73"/>
      <c r="BO152" s="81"/>
    </row>
    <row r="153" spans="1:67" x14ac:dyDescent="0.3">
      <c r="A153" s="89" t="s">
        <v>237</v>
      </c>
      <c r="B153" s="89" t="s">
        <v>348</v>
      </c>
      <c r="C153" s="80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81"/>
      <c r="P153" s="80"/>
      <c r="Q153" s="73"/>
      <c r="R153" s="73"/>
      <c r="S153" s="73"/>
      <c r="T153" s="73"/>
      <c r="U153" s="73"/>
      <c r="V153" s="73"/>
      <c r="W153" s="73"/>
      <c r="X153" s="73"/>
      <c r="Y153" s="73"/>
      <c r="Z153" s="73"/>
      <c r="AA153" s="73"/>
      <c r="AB153" s="81"/>
      <c r="AC153" s="80"/>
      <c r="AD153" s="73"/>
      <c r="AE153" s="73"/>
      <c r="AF153" s="73"/>
      <c r="AG153" s="73"/>
      <c r="AH153" s="73"/>
      <c r="AI153" s="73"/>
      <c r="AJ153" s="73"/>
      <c r="AK153" s="73"/>
      <c r="AL153" s="73"/>
      <c r="AM153" s="73"/>
      <c r="AN153" s="73"/>
      <c r="AO153" s="81"/>
      <c r="AP153" s="80"/>
      <c r="AQ153" s="73"/>
      <c r="AR153" s="73"/>
      <c r="AS153" s="73"/>
      <c r="AT153" s="73"/>
      <c r="AU153" s="73"/>
      <c r="AV153" s="73"/>
      <c r="AW153" s="73"/>
      <c r="AX153" s="73"/>
      <c r="AY153" s="73"/>
      <c r="AZ153" s="73"/>
      <c r="BA153" s="73"/>
      <c r="BB153" s="81"/>
      <c r="BC153" s="80"/>
      <c r="BD153" s="73"/>
      <c r="BE153" s="73"/>
      <c r="BF153" s="73"/>
      <c r="BG153" s="73"/>
      <c r="BH153" s="73"/>
      <c r="BI153" s="73"/>
      <c r="BJ153" s="73"/>
      <c r="BK153" s="73"/>
      <c r="BL153" s="73"/>
      <c r="BM153" s="73"/>
      <c r="BN153" s="73"/>
      <c r="BO153" s="81"/>
    </row>
    <row r="154" spans="1:67" x14ac:dyDescent="0.3">
      <c r="A154" s="89" t="s">
        <v>237</v>
      </c>
      <c r="B154" s="89" t="s">
        <v>350</v>
      </c>
      <c r="C154" s="80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81"/>
      <c r="P154" s="80"/>
      <c r="Q154" s="73"/>
      <c r="R154" s="73"/>
      <c r="S154" s="73"/>
      <c r="T154" s="73"/>
      <c r="U154" s="73"/>
      <c r="V154" s="73"/>
      <c r="W154" s="73"/>
      <c r="X154" s="73"/>
      <c r="Y154" s="73"/>
      <c r="Z154" s="73"/>
      <c r="AA154" s="73"/>
      <c r="AB154" s="81"/>
      <c r="AC154" s="80"/>
      <c r="AD154" s="73"/>
      <c r="AE154" s="73"/>
      <c r="AF154" s="73"/>
      <c r="AG154" s="73"/>
      <c r="AH154" s="73"/>
      <c r="AI154" s="73"/>
      <c r="AJ154" s="73"/>
      <c r="AK154" s="73"/>
      <c r="AL154" s="73"/>
      <c r="AM154" s="73"/>
      <c r="AN154" s="73"/>
      <c r="AO154" s="81"/>
      <c r="AP154" s="80"/>
      <c r="AQ154" s="73"/>
      <c r="AR154" s="73"/>
      <c r="AS154" s="73"/>
      <c r="AT154" s="73"/>
      <c r="AU154" s="73"/>
      <c r="AV154" s="73"/>
      <c r="AW154" s="73"/>
      <c r="AX154" s="73"/>
      <c r="AY154" s="73"/>
      <c r="AZ154" s="73"/>
      <c r="BA154" s="73"/>
      <c r="BB154" s="81"/>
      <c r="BC154" s="80"/>
      <c r="BD154" s="73"/>
      <c r="BE154" s="73"/>
      <c r="BF154" s="73"/>
      <c r="BG154" s="73"/>
      <c r="BH154" s="73"/>
      <c r="BI154" s="73"/>
      <c r="BJ154" s="73"/>
      <c r="BK154" s="73"/>
      <c r="BL154" s="73"/>
      <c r="BM154" s="73"/>
      <c r="BN154" s="73"/>
      <c r="BO154" s="81"/>
    </row>
    <row r="155" spans="1:67" x14ac:dyDescent="0.3">
      <c r="A155" s="89" t="s">
        <v>237</v>
      </c>
      <c r="B155" s="89" t="s">
        <v>352</v>
      </c>
      <c r="C155" s="80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81"/>
      <c r="P155" s="80"/>
      <c r="Q155" s="73"/>
      <c r="R155" s="73"/>
      <c r="S155" s="73"/>
      <c r="T155" s="73"/>
      <c r="U155" s="73"/>
      <c r="V155" s="73"/>
      <c r="W155" s="73"/>
      <c r="X155" s="73"/>
      <c r="Y155" s="73"/>
      <c r="Z155" s="73"/>
      <c r="AA155" s="73"/>
      <c r="AB155" s="81"/>
      <c r="AC155" s="80"/>
      <c r="AD155" s="73"/>
      <c r="AE155" s="73"/>
      <c r="AF155" s="73"/>
      <c r="AG155" s="73"/>
      <c r="AH155" s="73"/>
      <c r="AI155" s="73"/>
      <c r="AJ155" s="73"/>
      <c r="AK155" s="73"/>
      <c r="AL155" s="73"/>
      <c r="AM155" s="73"/>
      <c r="AN155" s="73"/>
      <c r="AO155" s="81"/>
      <c r="AP155" s="80"/>
      <c r="AQ155" s="73"/>
      <c r="AR155" s="73"/>
      <c r="AS155" s="73"/>
      <c r="AT155" s="73"/>
      <c r="AU155" s="73"/>
      <c r="AV155" s="73"/>
      <c r="AW155" s="73"/>
      <c r="AX155" s="73"/>
      <c r="AY155" s="73"/>
      <c r="AZ155" s="73"/>
      <c r="BA155" s="73"/>
      <c r="BB155" s="81"/>
      <c r="BC155" s="80"/>
      <c r="BD155" s="73"/>
      <c r="BE155" s="73"/>
      <c r="BF155" s="73"/>
      <c r="BG155" s="73"/>
      <c r="BH155" s="73"/>
      <c r="BI155" s="73"/>
      <c r="BJ155" s="73"/>
      <c r="BK155" s="73"/>
      <c r="BL155" s="73"/>
      <c r="BM155" s="73"/>
      <c r="BN155" s="73"/>
      <c r="BO155" s="81"/>
    </row>
    <row r="156" spans="1:67" x14ac:dyDescent="0.3">
      <c r="A156" s="89" t="s">
        <v>237</v>
      </c>
      <c r="B156" s="89" t="s">
        <v>354</v>
      </c>
      <c r="C156" s="80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81"/>
      <c r="P156" s="80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81"/>
      <c r="AC156" s="80"/>
      <c r="AD156" s="73"/>
      <c r="AE156" s="73"/>
      <c r="AF156" s="73"/>
      <c r="AG156" s="73"/>
      <c r="AH156" s="73"/>
      <c r="AI156" s="73"/>
      <c r="AJ156" s="73"/>
      <c r="AK156" s="73"/>
      <c r="AL156" s="73"/>
      <c r="AM156" s="73"/>
      <c r="AN156" s="73"/>
      <c r="AO156" s="81"/>
      <c r="AP156" s="80"/>
      <c r="AQ156" s="73"/>
      <c r="AR156" s="73"/>
      <c r="AS156" s="73"/>
      <c r="AT156" s="73"/>
      <c r="AU156" s="73"/>
      <c r="AV156" s="73"/>
      <c r="AW156" s="73"/>
      <c r="AX156" s="73"/>
      <c r="AY156" s="73"/>
      <c r="AZ156" s="73"/>
      <c r="BA156" s="73"/>
      <c r="BB156" s="81"/>
      <c r="BC156" s="80"/>
      <c r="BD156" s="73"/>
      <c r="BE156" s="73"/>
      <c r="BF156" s="73"/>
      <c r="BG156" s="73"/>
      <c r="BH156" s="73"/>
      <c r="BI156" s="73"/>
      <c r="BJ156" s="73"/>
      <c r="BK156" s="73"/>
      <c r="BL156" s="73"/>
      <c r="BM156" s="73"/>
      <c r="BN156" s="73"/>
      <c r="BO156" s="81"/>
    </row>
    <row r="157" spans="1:67" x14ac:dyDescent="0.3">
      <c r="A157" s="89" t="s">
        <v>237</v>
      </c>
      <c r="B157" s="89" t="s">
        <v>356</v>
      </c>
      <c r="C157" s="80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81"/>
      <c r="P157" s="80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81"/>
      <c r="AC157" s="80"/>
      <c r="AD157" s="73"/>
      <c r="AE157" s="73"/>
      <c r="AF157" s="73"/>
      <c r="AG157" s="73"/>
      <c r="AH157" s="73"/>
      <c r="AI157" s="73"/>
      <c r="AJ157" s="73"/>
      <c r="AK157" s="73"/>
      <c r="AL157" s="73"/>
      <c r="AM157" s="73"/>
      <c r="AN157" s="73"/>
      <c r="AO157" s="81"/>
      <c r="AP157" s="80"/>
      <c r="AQ157" s="73"/>
      <c r="AR157" s="73"/>
      <c r="AS157" s="73"/>
      <c r="AT157" s="73"/>
      <c r="AU157" s="73"/>
      <c r="AV157" s="73"/>
      <c r="AW157" s="73"/>
      <c r="AX157" s="73"/>
      <c r="AY157" s="73"/>
      <c r="AZ157" s="73"/>
      <c r="BA157" s="73"/>
      <c r="BB157" s="81"/>
      <c r="BC157" s="80"/>
      <c r="BD157" s="73"/>
      <c r="BE157" s="73"/>
      <c r="BF157" s="73"/>
      <c r="BG157" s="73"/>
      <c r="BH157" s="73"/>
      <c r="BI157" s="73"/>
      <c r="BJ157" s="73"/>
      <c r="BK157" s="73"/>
      <c r="BL157" s="73"/>
      <c r="BM157" s="73"/>
      <c r="BN157" s="73"/>
      <c r="BO157" s="81"/>
    </row>
    <row r="158" spans="1:67" x14ac:dyDescent="0.3">
      <c r="A158" s="89" t="s">
        <v>237</v>
      </c>
      <c r="B158" s="89" t="s">
        <v>358</v>
      </c>
      <c r="C158" s="80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81"/>
      <c r="P158" s="80"/>
      <c r="Q158" s="73"/>
      <c r="R158" s="73"/>
      <c r="S158" s="73"/>
      <c r="T158" s="73"/>
      <c r="U158" s="73"/>
      <c r="V158" s="73"/>
      <c r="W158" s="73"/>
      <c r="X158" s="73"/>
      <c r="Y158" s="73"/>
      <c r="Z158" s="73"/>
      <c r="AA158" s="73"/>
      <c r="AB158" s="81"/>
      <c r="AC158" s="80"/>
      <c r="AD158" s="73"/>
      <c r="AE158" s="73"/>
      <c r="AF158" s="73"/>
      <c r="AG158" s="73"/>
      <c r="AH158" s="73"/>
      <c r="AI158" s="73"/>
      <c r="AJ158" s="73"/>
      <c r="AK158" s="73"/>
      <c r="AL158" s="73"/>
      <c r="AM158" s="73"/>
      <c r="AN158" s="73"/>
      <c r="AO158" s="81"/>
      <c r="AP158" s="80"/>
      <c r="AQ158" s="73"/>
      <c r="AR158" s="73"/>
      <c r="AS158" s="73"/>
      <c r="AT158" s="73"/>
      <c r="AU158" s="73"/>
      <c r="AV158" s="73"/>
      <c r="AW158" s="73"/>
      <c r="AX158" s="73"/>
      <c r="AY158" s="73"/>
      <c r="AZ158" s="73"/>
      <c r="BA158" s="73"/>
      <c r="BB158" s="81"/>
      <c r="BC158" s="80"/>
      <c r="BD158" s="73"/>
      <c r="BE158" s="73"/>
      <c r="BF158" s="73"/>
      <c r="BG158" s="73"/>
      <c r="BH158" s="73"/>
      <c r="BI158" s="73"/>
      <c r="BJ158" s="73"/>
      <c r="BK158" s="73"/>
      <c r="BL158" s="73"/>
      <c r="BM158" s="73"/>
      <c r="BN158" s="73"/>
      <c r="BO158" s="81"/>
    </row>
    <row r="159" spans="1:67" x14ac:dyDescent="0.3">
      <c r="A159" s="89" t="s">
        <v>237</v>
      </c>
      <c r="B159" s="89" t="s">
        <v>360</v>
      </c>
      <c r="C159" s="80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81"/>
      <c r="P159" s="80"/>
      <c r="Q159" s="73"/>
      <c r="R159" s="73"/>
      <c r="S159" s="73"/>
      <c r="T159" s="73"/>
      <c r="U159" s="73"/>
      <c r="V159" s="73"/>
      <c r="W159" s="73"/>
      <c r="X159" s="73"/>
      <c r="Y159" s="73"/>
      <c r="Z159" s="73"/>
      <c r="AA159" s="73"/>
      <c r="AB159" s="81"/>
      <c r="AC159" s="80"/>
      <c r="AD159" s="73"/>
      <c r="AE159" s="73"/>
      <c r="AF159" s="73"/>
      <c r="AG159" s="73"/>
      <c r="AH159" s="73"/>
      <c r="AI159" s="73"/>
      <c r="AJ159" s="73"/>
      <c r="AK159" s="73"/>
      <c r="AL159" s="73"/>
      <c r="AM159" s="73"/>
      <c r="AN159" s="73"/>
      <c r="AO159" s="81"/>
      <c r="AP159" s="80"/>
      <c r="AQ159" s="73"/>
      <c r="AR159" s="73"/>
      <c r="AS159" s="73"/>
      <c r="AT159" s="73"/>
      <c r="AU159" s="73"/>
      <c r="AV159" s="73"/>
      <c r="AW159" s="73"/>
      <c r="AX159" s="73"/>
      <c r="AY159" s="73"/>
      <c r="AZ159" s="73"/>
      <c r="BA159" s="73"/>
      <c r="BB159" s="81"/>
      <c r="BC159" s="80"/>
      <c r="BD159" s="73"/>
      <c r="BE159" s="73"/>
      <c r="BF159" s="73"/>
      <c r="BG159" s="73"/>
      <c r="BH159" s="73"/>
      <c r="BI159" s="73"/>
      <c r="BJ159" s="73"/>
      <c r="BK159" s="73"/>
      <c r="BL159" s="73"/>
      <c r="BM159" s="73"/>
      <c r="BN159" s="73"/>
      <c r="BO159" s="81"/>
    </row>
    <row r="160" spans="1:67" x14ac:dyDescent="0.3">
      <c r="A160" s="89" t="s">
        <v>237</v>
      </c>
      <c r="B160" s="89" t="s">
        <v>362</v>
      </c>
      <c r="C160" s="80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81"/>
      <c r="P160" s="80"/>
      <c r="Q160" s="73"/>
      <c r="R160" s="73"/>
      <c r="S160" s="73"/>
      <c r="T160" s="73"/>
      <c r="U160" s="73"/>
      <c r="V160" s="73"/>
      <c r="W160" s="73"/>
      <c r="X160" s="73"/>
      <c r="Y160" s="73"/>
      <c r="Z160" s="73"/>
      <c r="AA160" s="73"/>
      <c r="AB160" s="81"/>
      <c r="AC160" s="80"/>
      <c r="AD160" s="73"/>
      <c r="AE160" s="73"/>
      <c r="AF160" s="73"/>
      <c r="AG160" s="73"/>
      <c r="AH160" s="73"/>
      <c r="AI160" s="73"/>
      <c r="AJ160" s="73"/>
      <c r="AK160" s="73"/>
      <c r="AL160" s="73"/>
      <c r="AM160" s="73"/>
      <c r="AN160" s="73"/>
      <c r="AO160" s="81"/>
      <c r="AP160" s="80"/>
      <c r="AQ160" s="73"/>
      <c r="AR160" s="73"/>
      <c r="AS160" s="73"/>
      <c r="AT160" s="73"/>
      <c r="AU160" s="73"/>
      <c r="AV160" s="73"/>
      <c r="AW160" s="73"/>
      <c r="AX160" s="73"/>
      <c r="AY160" s="73"/>
      <c r="AZ160" s="73"/>
      <c r="BA160" s="73"/>
      <c r="BB160" s="81"/>
      <c r="BC160" s="80"/>
      <c r="BD160" s="73"/>
      <c r="BE160" s="73"/>
      <c r="BF160" s="73"/>
      <c r="BG160" s="73"/>
      <c r="BH160" s="73"/>
      <c r="BI160" s="73"/>
      <c r="BJ160" s="73"/>
      <c r="BK160" s="73"/>
      <c r="BL160" s="73"/>
      <c r="BM160" s="73"/>
      <c r="BN160" s="73"/>
      <c r="BO160" s="81"/>
    </row>
    <row r="161" spans="1:67" x14ac:dyDescent="0.3">
      <c r="A161" s="89" t="s">
        <v>237</v>
      </c>
      <c r="B161" s="89" t="s">
        <v>364</v>
      </c>
      <c r="C161" s="80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81"/>
      <c r="P161" s="80"/>
      <c r="Q161" s="73"/>
      <c r="R161" s="73"/>
      <c r="S161" s="73"/>
      <c r="T161" s="73"/>
      <c r="U161" s="73"/>
      <c r="V161" s="73"/>
      <c r="W161" s="73"/>
      <c r="X161" s="73"/>
      <c r="Y161" s="73"/>
      <c r="Z161" s="73"/>
      <c r="AA161" s="73"/>
      <c r="AB161" s="81"/>
      <c r="AC161" s="80"/>
      <c r="AD161" s="73"/>
      <c r="AE161" s="73"/>
      <c r="AF161" s="73"/>
      <c r="AG161" s="73"/>
      <c r="AH161" s="73"/>
      <c r="AI161" s="73"/>
      <c r="AJ161" s="73"/>
      <c r="AK161" s="73"/>
      <c r="AL161" s="73"/>
      <c r="AM161" s="73"/>
      <c r="AN161" s="73"/>
      <c r="AO161" s="81"/>
      <c r="AP161" s="80"/>
      <c r="AQ161" s="73"/>
      <c r="AR161" s="73"/>
      <c r="AS161" s="73"/>
      <c r="AT161" s="73"/>
      <c r="AU161" s="73"/>
      <c r="AV161" s="73"/>
      <c r="AW161" s="73"/>
      <c r="AX161" s="73"/>
      <c r="AY161" s="73"/>
      <c r="AZ161" s="73"/>
      <c r="BA161" s="73"/>
      <c r="BB161" s="81"/>
      <c r="BC161" s="80"/>
      <c r="BD161" s="73"/>
      <c r="BE161" s="73"/>
      <c r="BF161" s="73"/>
      <c r="BG161" s="73"/>
      <c r="BH161" s="73"/>
      <c r="BI161" s="73"/>
      <c r="BJ161" s="73"/>
      <c r="BK161" s="73"/>
      <c r="BL161" s="73"/>
      <c r="BM161" s="73"/>
      <c r="BN161" s="73"/>
      <c r="BO161" s="81"/>
    </row>
    <row r="162" spans="1:67" x14ac:dyDescent="0.3">
      <c r="A162" s="89" t="s">
        <v>237</v>
      </c>
      <c r="B162" s="89" t="s">
        <v>366</v>
      </c>
      <c r="C162" s="80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81"/>
      <c r="P162" s="80"/>
      <c r="Q162" s="73"/>
      <c r="R162" s="73"/>
      <c r="S162" s="73"/>
      <c r="T162" s="73"/>
      <c r="U162" s="73"/>
      <c r="V162" s="73"/>
      <c r="W162" s="73"/>
      <c r="X162" s="73"/>
      <c r="Y162" s="73"/>
      <c r="Z162" s="73"/>
      <c r="AA162" s="73"/>
      <c r="AB162" s="81"/>
      <c r="AC162" s="80"/>
      <c r="AD162" s="73"/>
      <c r="AE162" s="73"/>
      <c r="AF162" s="73"/>
      <c r="AG162" s="73"/>
      <c r="AH162" s="73"/>
      <c r="AI162" s="73"/>
      <c r="AJ162" s="73"/>
      <c r="AK162" s="73"/>
      <c r="AL162" s="73"/>
      <c r="AM162" s="73"/>
      <c r="AN162" s="73"/>
      <c r="AO162" s="81"/>
      <c r="AP162" s="80"/>
      <c r="AQ162" s="73"/>
      <c r="AR162" s="73"/>
      <c r="AS162" s="73"/>
      <c r="AT162" s="73"/>
      <c r="AU162" s="73"/>
      <c r="AV162" s="73"/>
      <c r="AW162" s="73"/>
      <c r="AX162" s="73"/>
      <c r="AY162" s="73"/>
      <c r="AZ162" s="73"/>
      <c r="BA162" s="73"/>
      <c r="BB162" s="81"/>
      <c r="BC162" s="80"/>
      <c r="BD162" s="73"/>
      <c r="BE162" s="73"/>
      <c r="BF162" s="73"/>
      <c r="BG162" s="73"/>
      <c r="BH162" s="73"/>
      <c r="BI162" s="73"/>
      <c r="BJ162" s="73"/>
      <c r="BK162" s="73"/>
      <c r="BL162" s="73"/>
      <c r="BM162" s="73"/>
      <c r="BN162" s="73"/>
      <c r="BO162" s="81"/>
    </row>
    <row r="163" spans="1:67" x14ac:dyDescent="0.3">
      <c r="A163" s="89" t="s">
        <v>237</v>
      </c>
      <c r="B163" s="89" t="s">
        <v>368</v>
      </c>
      <c r="C163" s="80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81"/>
      <c r="P163" s="80"/>
      <c r="Q163" s="73"/>
      <c r="R163" s="73"/>
      <c r="S163" s="73"/>
      <c r="T163" s="73"/>
      <c r="U163" s="73"/>
      <c r="V163" s="73"/>
      <c r="W163" s="73"/>
      <c r="X163" s="73"/>
      <c r="Y163" s="73"/>
      <c r="Z163" s="73"/>
      <c r="AA163" s="73"/>
      <c r="AB163" s="81"/>
      <c r="AC163" s="80"/>
      <c r="AD163" s="73"/>
      <c r="AE163" s="73"/>
      <c r="AF163" s="73"/>
      <c r="AG163" s="73"/>
      <c r="AH163" s="73"/>
      <c r="AI163" s="73"/>
      <c r="AJ163" s="73"/>
      <c r="AK163" s="73"/>
      <c r="AL163" s="73"/>
      <c r="AM163" s="73"/>
      <c r="AN163" s="73"/>
      <c r="AO163" s="81"/>
      <c r="AP163" s="80"/>
      <c r="AQ163" s="73"/>
      <c r="AR163" s="73"/>
      <c r="AS163" s="73"/>
      <c r="AT163" s="73"/>
      <c r="AU163" s="73"/>
      <c r="AV163" s="73"/>
      <c r="AW163" s="73"/>
      <c r="AX163" s="73"/>
      <c r="AY163" s="73"/>
      <c r="AZ163" s="73"/>
      <c r="BA163" s="73"/>
      <c r="BB163" s="81"/>
      <c r="BC163" s="80"/>
      <c r="BD163" s="73"/>
      <c r="BE163" s="73"/>
      <c r="BF163" s="73"/>
      <c r="BG163" s="73"/>
      <c r="BH163" s="73"/>
      <c r="BI163" s="73"/>
      <c r="BJ163" s="73"/>
      <c r="BK163" s="73"/>
      <c r="BL163" s="73"/>
      <c r="BM163" s="73"/>
      <c r="BN163" s="73"/>
      <c r="BO163" s="81"/>
    </row>
    <row r="164" spans="1:67" x14ac:dyDescent="0.3">
      <c r="A164" s="89" t="s">
        <v>237</v>
      </c>
      <c r="B164" s="89" t="s">
        <v>370</v>
      </c>
      <c r="C164" s="80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81"/>
      <c r="P164" s="80"/>
      <c r="Q164" s="73"/>
      <c r="R164" s="73"/>
      <c r="S164" s="73"/>
      <c r="T164" s="73"/>
      <c r="U164" s="73"/>
      <c r="V164" s="73"/>
      <c r="W164" s="73"/>
      <c r="X164" s="73"/>
      <c r="Y164" s="73"/>
      <c r="Z164" s="73"/>
      <c r="AA164" s="73"/>
      <c r="AB164" s="81"/>
      <c r="AC164" s="80"/>
      <c r="AD164" s="73"/>
      <c r="AE164" s="73"/>
      <c r="AF164" s="73"/>
      <c r="AG164" s="73"/>
      <c r="AH164" s="73"/>
      <c r="AI164" s="73"/>
      <c r="AJ164" s="73"/>
      <c r="AK164" s="73"/>
      <c r="AL164" s="73"/>
      <c r="AM164" s="73"/>
      <c r="AN164" s="73"/>
      <c r="AO164" s="81"/>
      <c r="AP164" s="80"/>
      <c r="AQ164" s="73"/>
      <c r="AR164" s="73"/>
      <c r="AS164" s="73"/>
      <c r="AT164" s="73"/>
      <c r="AU164" s="73"/>
      <c r="AV164" s="73"/>
      <c r="AW164" s="73"/>
      <c r="AX164" s="73"/>
      <c r="AY164" s="73"/>
      <c r="AZ164" s="73"/>
      <c r="BA164" s="73"/>
      <c r="BB164" s="81"/>
      <c r="BC164" s="80"/>
      <c r="BD164" s="73"/>
      <c r="BE164" s="73"/>
      <c r="BF164" s="73"/>
      <c r="BG164" s="73"/>
      <c r="BH164" s="73"/>
      <c r="BI164" s="73"/>
      <c r="BJ164" s="73"/>
      <c r="BK164" s="73"/>
      <c r="BL164" s="73"/>
      <c r="BM164" s="73"/>
      <c r="BN164" s="73"/>
      <c r="BO164" s="81"/>
    </row>
    <row r="165" spans="1:67" x14ac:dyDescent="0.3">
      <c r="A165" s="89" t="s">
        <v>237</v>
      </c>
      <c r="B165" s="89" t="s">
        <v>372</v>
      </c>
      <c r="C165" s="80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81"/>
      <c r="P165" s="80"/>
      <c r="Q165" s="73"/>
      <c r="R165" s="73"/>
      <c r="S165" s="73"/>
      <c r="T165" s="73"/>
      <c r="U165" s="73"/>
      <c r="V165" s="73"/>
      <c r="W165" s="73"/>
      <c r="X165" s="73"/>
      <c r="Y165" s="73"/>
      <c r="Z165" s="73"/>
      <c r="AA165" s="73"/>
      <c r="AB165" s="81"/>
      <c r="AC165" s="80"/>
      <c r="AD165" s="73"/>
      <c r="AE165" s="73"/>
      <c r="AF165" s="73"/>
      <c r="AG165" s="73"/>
      <c r="AH165" s="73"/>
      <c r="AI165" s="73"/>
      <c r="AJ165" s="73"/>
      <c r="AK165" s="73"/>
      <c r="AL165" s="73"/>
      <c r="AM165" s="73"/>
      <c r="AN165" s="73"/>
      <c r="AO165" s="81"/>
      <c r="AP165" s="80"/>
      <c r="AQ165" s="73"/>
      <c r="AR165" s="73"/>
      <c r="AS165" s="73"/>
      <c r="AT165" s="73"/>
      <c r="AU165" s="73"/>
      <c r="AV165" s="73"/>
      <c r="AW165" s="73"/>
      <c r="AX165" s="73"/>
      <c r="AY165" s="73"/>
      <c r="AZ165" s="73"/>
      <c r="BA165" s="73"/>
      <c r="BB165" s="81"/>
      <c r="BC165" s="80"/>
      <c r="BD165" s="73"/>
      <c r="BE165" s="73"/>
      <c r="BF165" s="73"/>
      <c r="BG165" s="73"/>
      <c r="BH165" s="73"/>
      <c r="BI165" s="73"/>
      <c r="BJ165" s="73"/>
      <c r="BK165" s="73"/>
      <c r="BL165" s="73"/>
      <c r="BM165" s="73"/>
      <c r="BN165" s="73"/>
      <c r="BO165" s="81"/>
    </row>
    <row r="166" spans="1:67" ht="24" x14ac:dyDescent="0.3">
      <c r="A166" s="89" t="s">
        <v>237</v>
      </c>
      <c r="B166" s="89" t="s">
        <v>374</v>
      </c>
      <c r="C166" s="80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81"/>
      <c r="P166" s="80"/>
      <c r="Q166" s="73"/>
      <c r="R166" s="73"/>
      <c r="S166" s="73"/>
      <c r="T166" s="73"/>
      <c r="U166" s="73"/>
      <c r="V166" s="73"/>
      <c r="W166" s="73"/>
      <c r="X166" s="73"/>
      <c r="Y166" s="73"/>
      <c r="Z166" s="73"/>
      <c r="AA166" s="73"/>
      <c r="AB166" s="81"/>
      <c r="AC166" s="80"/>
      <c r="AD166" s="73"/>
      <c r="AE166" s="73"/>
      <c r="AF166" s="73"/>
      <c r="AG166" s="73"/>
      <c r="AH166" s="73"/>
      <c r="AI166" s="73"/>
      <c r="AJ166" s="73"/>
      <c r="AK166" s="73"/>
      <c r="AL166" s="73"/>
      <c r="AM166" s="73"/>
      <c r="AN166" s="73"/>
      <c r="AO166" s="81"/>
      <c r="AP166" s="80"/>
      <c r="AQ166" s="73"/>
      <c r="AR166" s="73"/>
      <c r="AS166" s="73"/>
      <c r="AT166" s="73"/>
      <c r="AU166" s="73"/>
      <c r="AV166" s="73"/>
      <c r="AW166" s="73"/>
      <c r="AX166" s="73"/>
      <c r="AY166" s="73"/>
      <c r="AZ166" s="73"/>
      <c r="BA166" s="73"/>
      <c r="BB166" s="81"/>
      <c r="BC166" s="80"/>
      <c r="BD166" s="73"/>
      <c r="BE166" s="73"/>
      <c r="BF166" s="73"/>
      <c r="BG166" s="73"/>
      <c r="BH166" s="73"/>
      <c r="BI166" s="73"/>
      <c r="BJ166" s="73"/>
      <c r="BK166" s="73"/>
      <c r="BL166" s="73"/>
      <c r="BM166" s="73"/>
      <c r="BN166" s="73"/>
      <c r="BO166" s="81"/>
    </row>
    <row r="167" spans="1:67" x14ac:dyDescent="0.3">
      <c r="A167" s="89" t="s">
        <v>237</v>
      </c>
      <c r="B167" s="89" t="s">
        <v>376</v>
      </c>
      <c r="C167" s="80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81"/>
      <c r="P167" s="80"/>
      <c r="Q167" s="73"/>
      <c r="R167" s="73"/>
      <c r="S167" s="73"/>
      <c r="T167" s="73"/>
      <c r="U167" s="73"/>
      <c r="V167" s="73"/>
      <c r="W167" s="73"/>
      <c r="X167" s="73"/>
      <c r="Y167" s="73"/>
      <c r="Z167" s="73"/>
      <c r="AA167" s="73"/>
      <c r="AB167" s="81"/>
      <c r="AC167" s="80"/>
      <c r="AD167" s="73"/>
      <c r="AE167" s="73"/>
      <c r="AF167" s="73"/>
      <c r="AG167" s="73"/>
      <c r="AH167" s="73"/>
      <c r="AI167" s="73"/>
      <c r="AJ167" s="73"/>
      <c r="AK167" s="73"/>
      <c r="AL167" s="73"/>
      <c r="AM167" s="73"/>
      <c r="AN167" s="73"/>
      <c r="AO167" s="81"/>
      <c r="AP167" s="80"/>
      <c r="AQ167" s="73"/>
      <c r="AR167" s="73"/>
      <c r="AS167" s="73"/>
      <c r="AT167" s="73"/>
      <c r="AU167" s="73"/>
      <c r="AV167" s="73"/>
      <c r="AW167" s="73"/>
      <c r="AX167" s="73"/>
      <c r="AY167" s="73"/>
      <c r="AZ167" s="73"/>
      <c r="BA167" s="73"/>
      <c r="BB167" s="81"/>
      <c r="BC167" s="80"/>
      <c r="BD167" s="73"/>
      <c r="BE167" s="73"/>
      <c r="BF167" s="73"/>
      <c r="BG167" s="73"/>
      <c r="BH167" s="73"/>
      <c r="BI167" s="73"/>
      <c r="BJ167" s="73"/>
      <c r="BK167" s="73"/>
      <c r="BL167" s="73"/>
      <c r="BM167" s="73"/>
      <c r="BN167" s="73"/>
      <c r="BO167" s="81"/>
    </row>
    <row r="168" spans="1:67" x14ac:dyDescent="0.3">
      <c r="A168" s="89" t="s">
        <v>237</v>
      </c>
      <c r="B168" s="89" t="s">
        <v>378</v>
      </c>
      <c r="C168" s="80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81"/>
      <c r="P168" s="80"/>
      <c r="Q168" s="73"/>
      <c r="R168" s="73"/>
      <c r="S168" s="73"/>
      <c r="T168" s="73"/>
      <c r="U168" s="73"/>
      <c r="V168" s="73"/>
      <c r="W168" s="73"/>
      <c r="X168" s="73"/>
      <c r="Y168" s="73"/>
      <c r="Z168" s="73"/>
      <c r="AA168" s="73"/>
      <c r="AB168" s="81"/>
      <c r="AC168" s="80"/>
      <c r="AD168" s="73"/>
      <c r="AE168" s="73"/>
      <c r="AF168" s="73"/>
      <c r="AG168" s="73"/>
      <c r="AH168" s="73"/>
      <c r="AI168" s="73"/>
      <c r="AJ168" s="73"/>
      <c r="AK168" s="73"/>
      <c r="AL168" s="73"/>
      <c r="AM168" s="73"/>
      <c r="AN168" s="73"/>
      <c r="AO168" s="81"/>
      <c r="AP168" s="80"/>
      <c r="AQ168" s="73"/>
      <c r="AR168" s="73"/>
      <c r="AS168" s="73"/>
      <c r="AT168" s="73"/>
      <c r="AU168" s="73"/>
      <c r="AV168" s="73"/>
      <c r="AW168" s="73"/>
      <c r="AX168" s="73"/>
      <c r="AY168" s="73"/>
      <c r="AZ168" s="73"/>
      <c r="BA168" s="73"/>
      <c r="BB168" s="81"/>
      <c r="BC168" s="80"/>
      <c r="BD168" s="73"/>
      <c r="BE168" s="73"/>
      <c r="BF168" s="73"/>
      <c r="BG168" s="73"/>
      <c r="BH168" s="73"/>
      <c r="BI168" s="73"/>
      <c r="BJ168" s="73"/>
      <c r="BK168" s="73"/>
      <c r="BL168" s="73"/>
      <c r="BM168" s="73"/>
      <c r="BN168" s="73"/>
      <c r="BO168" s="81"/>
    </row>
    <row r="169" spans="1:67" x14ac:dyDescent="0.3">
      <c r="A169" s="89" t="s">
        <v>237</v>
      </c>
      <c r="B169" s="89" t="s">
        <v>380</v>
      </c>
      <c r="C169" s="80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81"/>
      <c r="P169" s="80"/>
      <c r="Q169" s="73"/>
      <c r="R169" s="73"/>
      <c r="S169" s="73"/>
      <c r="T169" s="73"/>
      <c r="U169" s="73"/>
      <c r="V169" s="73"/>
      <c r="W169" s="73"/>
      <c r="X169" s="73"/>
      <c r="Y169" s="73"/>
      <c r="Z169" s="73"/>
      <c r="AA169" s="73"/>
      <c r="AB169" s="81"/>
      <c r="AC169" s="80"/>
      <c r="AD169" s="73"/>
      <c r="AE169" s="73"/>
      <c r="AF169" s="73"/>
      <c r="AG169" s="73"/>
      <c r="AH169" s="73"/>
      <c r="AI169" s="73"/>
      <c r="AJ169" s="73"/>
      <c r="AK169" s="73"/>
      <c r="AL169" s="73"/>
      <c r="AM169" s="73"/>
      <c r="AN169" s="73"/>
      <c r="AO169" s="81"/>
      <c r="AP169" s="80"/>
      <c r="AQ169" s="73"/>
      <c r="AR169" s="73"/>
      <c r="AS169" s="73"/>
      <c r="AT169" s="73"/>
      <c r="AU169" s="73"/>
      <c r="AV169" s="73"/>
      <c r="AW169" s="73"/>
      <c r="AX169" s="73"/>
      <c r="AY169" s="73"/>
      <c r="AZ169" s="73"/>
      <c r="BA169" s="73"/>
      <c r="BB169" s="81"/>
      <c r="BC169" s="80"/>
      <c r="BD169" s="73"/>
      <c r="BE169" s="73"/>
      <c r="BF169" s="73"/>
      <c r="BG169" s="73"/>
      <c r="BH169" s="73"/>
      <c r="BI169" s="73"/>
      <c r="BJ169" s="73"/>
      <c r="BK169" s="73"/>
      <c r="BL169" s="73"/>
      <c r="BM169" s="73"/>
      <c r="BN169" s="73"/>
      <c r="BO169" s="81"/>
    </row>
    <row r="170" spans="1:67" x14ac:dyDescent="0.3">
      <c r="A170" s="89" t="s">
        <v>237</v>
      </c>
      <c r="B170" s="89" t="s">
        <v>382</v>
      </c>
      <c r="C170" s="80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81"/>
      <c r="P170" s="80"/>
      <c r="Q170" s="73"/>
      <c r="R170" s="73"/>
      <c r="S170" s="73"/>
      <c r="T170" s="73"/>
      <c r="U170" s="73"/>
      <c r="V170" s="73"/>
      <c r="W170" s="73"/>
      <c r="X170" s="73"/>
      <c r="Y170" s="73"/>
      <c r="Z170" s="73"/>
      <c r="AA170" s="73"/>
      <c r="AB170" s="81"/>
      <c r="AC170" s="80"/>
      <c r="AD170" s="73"/>
      <c r="AE170" s="73"/>
      <c r="AF170" s="73"/>
      <c r="AG170" s="73"/>
      <c r="AH170" s="73"/>
      <c r="AI170" s="73"/>
      <c r="AJ170" s="73"/>
      <c r="AK170" s="73"/>
      <c r="AL170" s="73"/>
      <c r="AM170" s="73"/>
      <c r="AN170" s="73"/>
      <c r="AO170" s="81"/>
      <c r="AP170" s="80"/>
      <c r="AQ170" s="73"/>
      <c r="AR170" s="73"/>
      <c r="AS170" s="73"/>
      <c r="AT170" s="73"/>
      <c r="AU170" s="73"/>
      <c r="AV170" s="73"/>
      <c r="AW170" s="73"/>
      <c r="AX170" s="73"/>
      <c r="AY170" s="73"/>
      <c r="AZ170" s="73"/>
      <c r="BA170" s="73"/>
      <c r="BB170" s="81"/>
      <c r="BC170" s="80"/>
      <c r="BD170" s="73"/>
      <c r="BE170" s="73"/>
      <c r="BF170" s="73"/>
      <c r="BG170" s="73"/>
      <c r="BH170" s="73"/>
      <c r="BI170" s="73"/>
      <c r="BJ170" s="73"/>
      <c r="BK170" s="73"/>
      <c r="BL170" s="73"/>
      <c r="BM170" s="73"/>
      <c r="BN170" s="73"/>
      <c r="BO170" s="81"/>
    </row>
    <row r="171" spans="1:67" x14ac:dyDescent="0.3">
      <c r="A171" s="89" t="s">
        <v>237</v>
      </c>
      <c r="B171" s="89" t="s">
        <v>384</v>
      </c>
      <c r="C171" s="80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81"/>
      <c r="P171" s="80"/>
      <c r="Q171" s="73"/>
      <c r="R171" s="73"/>
      <c r="S171" s="73"/>
      <c r="T171" s="73"/>
      <c r="U171" s="73"/>
      <c r="V171" s="73"/>
      <c r="W171" s="73"/>
      <c r="X171" s="73"/>
      <c r="Y171" s="73"/>
      <c r="Z171" s="73"/>
      <c r="AA171" s="73"/>
      <c r="AB171" s="81"/>
      <c r="AC171" s="80"/>
      <c r="AD171" s="73"/>
      <c r="AE171" s="73"/>
      <c r="AF171" s="73"/>
      <c r="AG171" s="73"/>
      <c r="AH171" s="73"/>
      <c r="AI171" s="73"/>
      <c r="AJ171" s="73"/>
      <c r="AK171" s="73"/>
      <c r="AL171" s="73"/>
      <c r="AM171" s="73"/>
      <c r="AN171" s="73"/>
      <c r="AO171" s="81"/>
      <c r="AP171" s="80"/>
      <c r="AQ171" s="73"/>
      <c r="AR171" s="73"/>
      <c r="AS171" s="73"/>
      <c r="AT171" s="73"/>
      <c r="AU171" s="73"/>
      <c r="AV171" s="73"/>
      <c r="AW171" s="73"/>
      <c r="AX171" s="73"/>
      <c r="AY171" s="73"/>
      <c r="AZ171" s="73"/>
      <c r="BA171" s="73"/>
      <c r="BB171" s="81"/>
      <c r="BC171" s="80"/>
      <c r="BD171" s="73"/>
      <c r="BE171" s="73"/>
      <c r="BF171" s="73"/>
      <c r="BG171" s="73"/>
      <c r="BH171" s="73"/>
      <c r="BI171" s="73"/>
      <c r="BJ171" s="73"/>
      <c r="BK171" s="73"/>
      <c r="BL171" s="73"/>
      <c r="BM171" s="73"/>
      <c r="BN171" s="73"/>
      <c r="BO171" s="81"/>
    </row>
    <row r="172" spans="1:67" x14ac:dyDescent="0.3">
      <c r="A172" s="89" t="s">
        <v>237</v>
      </c>
      <c r="B172" s="89" t="s">
        <v>386</v>
      </c>
      <c r="C172" s="80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81"/>
      <c r="P172" s="80"/>
      <c r="Q172" s="73"/>
      <c r="R172" s="73"/>
      <c r="S172" s="73"/>
      <c r="T172" s="73"/>
      <c r="U172" s="73"/>
      <c r="V172" s="73"/>
      <c r="W172" s="73"/>
      <c r="X172" s="73"/>
      <c r="Y172" s="73"/>
      <c r="Z172" s="73"/>
      <c r="AA172" s="73"/>
      <c r="AB172" s="81"/>
      <c r="AC172" s="80"/>
      <c r="AD172" s="73"/>
      <c r="AE172" s="73"/>
      <c r="AF172" s="73"/>
      <c r="AG172" s="73"/>
      <c r="AH172" s="73"/>
      <c r="AI172" s="73"/>
      <c r="AJ172" s="73"/>
      <c r="AK172" s="73"/>
      <c r="AL172" s="73"/>
      <c r="AM172" s="73"/>
      <c r="AN172" s="73"/>
      <c r="AO172" s="81"/>
      <c r="AP172" s="80"/>
      <c r="AQ172" s="73"/>
      <c r="AR172" s="73"/>
      <c r="AS172" s="73"/>
      <c r="AT172" s="73"/>
      <c r="AU172" s="73"/>
      <c r="AV172" s="73"/>
      <c r="AW172" s="73"/>
      <c r="AX172" s="73"/>
      <c r="AY172" s="73"/>
      <c r="AZ172" s="73"/>
      <c r="BA172" s="73"/>
      <c r="BB172" s="81"/>
      <c r="BC172" s="80"/>
      <c r="BD172" s="73"/>
      <c r="BE172" s="73"/>
      <c r="BF172" s="73"/>
      <c r="BG172" s="73"/>
      <c r="BH172" s="73"/>
      <c r="BI172" s="73"/>
      <c r="BJ172" s="73"/>
      <c r="BK172" s="73"/>
      <c r="BL172" s="73"/>
      <c r="BM172" s="73"/>
      <c r="BN172" s="73"/>
      <c r="BO172" s="81"/>
    </row>
    <row r="173" spans="1:67" x14ac:dyDescent="0.3">
      <c r="A173" s="89" t="s">
        <v>237</v>
      </c>
      <c r="B173" s="89" t="s">
        <v>387</v>
      </c>
      <c r="C173" s="80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81"/>
      <c r="P173" s="80"/>
      <c r="Q173" s="73"/>
      <c r="R173" s="73"/>
      <c r="S173" s="73"/>
      <c r="T173" s="73"/>
      <c r="U173" s="73"/>
      <c r="V173" s="73"/>
      <c r="W173" s="73"/>
      <c r="X173" s="73"/>
      <c r="Y173" s="73"/>
      <c r="Z173" s="73"/>
      <c r="AA173" s="73"/>
      <c r="AB173" s="81"/>
      <c r="AC173" s="80"/>
      <c r="AD173" s="73"/>
      <c r="AE173" s="73"/>
      <c r="AF173" s="73"/>
      <c r="AG173" s="73"/>
      <c r="AH173" s="73"/>
      <c r="AI173" s="73"/>
      <c r="AJ173" s="73"/>
      <c r="AK173" s="73"/>
      <c r="AL173" s="73"/>
      <c r="AM173" s="73"/>
      <c r="AN173" s="73"/>
      <c r="AO173" s="81"/>
      <c r="AP173" s="80"/>
      <c r="AQ173" s="73"/>
      <c r="AR173" s="73"/>
      <c r="AS173" s="73"/>
      <c r="AT173" s="73"/>
      <c r="AU173" s="73"/>
      <c r="AV173" s="73"/>
      <c r="AW173" s="73"/>
      <c r="AX173" s="73"/>
      <c r="AY173" s="73"/>
      <c r="AZ173" s="73"/>
      <c r="BA173" s="73"/>
      <c r="BB173" s="81"/>
      <c r="BC173" s="80"/>
      <c r="BD173" s="73"/>
      <c r="BE173" s="73"/>
      <c r="BF173" s="73"/>
      <c r="BG173" s="73"/>
      <c r="BH173" s="73"/>
      <c r="BI173" s="73"/>
      <c r="BJ173" s="73"/>
      <c r="BK173" s="73"/>
      <c r="BL173" s="73"/>
      <c r="BM173" s="73"/>
      <c r="BN173" s="73"/>
      <c r="BO173" s="81"/>
    </row>
    <row r="174" spans="1:67" x14ac:dyDescent="0.3">
      <c r="A174" s="89" t="s">
        <v>232</v>
      </c>
      <c r="B174" s="89" t="s">
        <v>389</v>
      </c>
      <c r="C174" s="80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81"/>
      <c r="P174" s="80"/>
      <c r="Q174" s="73"/>
      <c r="R174" s="73"/>
      <c r="S174" s="73"/>
      <c r="T174" s="73"/>
      <c r="U174" s="73"/>
      <c r="V174" s="73"/>
      <c r="W174" s="73"/>
      <c r="X174" s="73"/>
      <c r="Y174" s="73"/>
      <c r="Z174" s="73"/>
      <c r="AA174" s="73"/>
      <c r="AB174" s="81"/>
      <c r="AC174" s="80"/>
      <c r="AD174" s="73"/>
      <c r="AE174" s="73"/>
      <c r="AF174" s="73"/>
      <c r="AG174" s="73"/>
      <c r="AH174" s="73"/>
      <c r="AI174" s="73"/>
      <c r="AJ174" s="73"/>
      <c r="AK174" s="73"/>
      <c r="AL174" s="73"/>
      <c r="AM174" s="73"/>
      <c r="AN174" s="73"/>
      <c r="AO174" s="81"/>
      <c r="AP174" s="80"/>
      <c r="AQ174" s="73"/>
      <c r="AR174" s="73"/>
      <c r="AS174" s="73"/>
      <c r="AT174" s="73"/>
      <c r="AU174" s="73"/>
      <c r="AV174" s="73"/>
      <c r="AW174" s="73"/>
      <c r="AX174" s="73"/>
      <c r="AY174" s="73"/>
      <c r="AZ174" s="73"/>
      <c r="BA174" s="73"/>
      <c r="BB174" s="81"/>
      <c r="BC174" s="80"/>
      <c r="BD174" s="73"/>
      <c r="BE174" s="73"/>
      <c r="BF174" s="73"/>
      <c r="BG174" s="73"/>
      <c r="BH174" s="73"/>
      <c r="BI174" s="73"/>
      <c r="BJ174" s="73"/>
      <c r="BK174" s="73"/>
      <c r="BL174" s="73"/>
      <c r="BM174" s="73"/>
      <c r="BN174" s="73"/>
      <c r="BO174" s="81"/>
    </row>
    <row r="175" spans="1:67" x14ac:dyDescent="0.3">
      <c r="A175" s="89" t="s">
        <v>44</v>
      </c>
      <c r="B175" s="89" t="s">
        <v>391</v>
      </c>
      <c r="C175" s="80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81"/>
      <c r="P175" s="80"/>
      <c r="Q175" s="73"/>
      <c r="R175" s="73"/>
      <c r="S175" s="73"/>
      <c r="T175" s="73"/>
      <c r="U175" s="73"/>
      <c r="V175" s="73"/>
      <c r="W175" s="73"/>
      <c r="X175" s="73"/>
      <c r="Y175" s="73"/>
      <c r="Z175" s="73"/>
      <c r="AA175" s="73"/>
      <c r="AB175" s="81"/>
      <c r="AC175" s="80"/>
      <c r="AD175" s="73"/>
      <c r="AE175" s="73"/>
      <c r="AF175" s="73"/>
      <c r="AG175" s="73"/>
      <c r="AH175" s="73"/>
      <c r="AI175" s="73"/>
      <c r="AJ175" s="73"/>
      <c r="AK175" s="73"/>
      <c r="AL175" s="73"/>
      <c r="AM175" s="73"/>
      <c r="AN175" s="73"/>
      <c r="AO175" s="81"/>
      <c r="AP175" s="80"/>
      <c r="AQ175" s="73"/>
      <c r="AR175" s="73"/>
      <c r="AS175" s="73"/>
      <c r="AT175" s="73"/>
      <c r="AU175" s="73"/>
      <c r="AV175" s="73"/>
      <c r="AW175" s="73"/>
      <c r="AX175" s="73"/>
      <c r="AY175" s="73"/>
      <c r="AZ175" s="73"/>
      <c r="BA175" s="73"/>
      <c r="BB175" s="81"/>
      <c r="BC175" s="80"/>
      <c r="BD175" s="73"/>
      <c r="BE175" s="73"/>
      <c r="BF175" s="73"/>
      <c r="BG175" s="73"/>
      <c r="BH175" s="73"/>
      <c r="BI175" s="73"/>
      <c r="BJ175" s="73"/>
      <c r="BK175" s="73"/>
      <c r="BL175" s="73"/>
      <c r="BM175" s="73"/>
      <c r="BN175" s="73"/>
      <c r="BO175" s="81"/>
    </row>
    <row r="176" spans="1:67" x14ac:dyDescent="0.3">
      <c r="A176" s="89" t="s">
        <v>44</v>
      </c>
      <c r="B176" s="89" t="s">
        <v>393</v>
      </c>
      <c r="C176" s="80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81"/>
      <c r="P176" s="80"/>
      <c r="Q176" s="73"/>
      <c r="R176" s="73"/>
      <c r="S176" s="73"/>
      <c r="T176" s="73"/>
      <c r="U176" s="73"/>
      <c r="V176" s="73"/>
      <c r="W176" s="73"/>
      <c r="X176" s="73"/>
      <c r="Y176" s="73"/>
      <c r="Z176" s="73"/>
      <c r="AA176" s="73"/>
      <c r="AB176" s="81"/>
      <c r="AC176" s="80"/>
      <c r="AD176" s="73"/>
      <c r="AE176" s="73"/>
      <c r="AF176" s="73"/>
      <c r="AG176" s="73"/>
      <c r="AH176" s="73"/>
      <c r="AI176" s="73"/>
      <c r="AJ176" s="73"/>
      <c r="AK176" s="73"/>
      <c r="AL176" s="73"/>
      <c r="AM176" s="73"/>
      <c r="AN176" s="73"/>
      <c r="AO176" s="81"/>
      <c r="AP176" s="80"/>
      <c r="AQ176" s="73"/>
      <c r="AR176" s="73"/>
      <c r="AS176" s="73"/>
      <c r="AT176" s="73"/>
      <c r="AU176" s="73"/>
      <c r="AV176" s="73"/>
      <c r="AW176" s="73"/>
      <c r="AX176" s="73"/>
      <c r="AY176" s="73"/>
      <c r="AZ176" s="73"/>
      <c r="BA176" s="73"/>
      <c r="BB176" s="81"/>
      <c r="BC176" s="80"/>
      <c r="BD176" s="73"/>
      <c r="BE176" s="73"/>
      <c r="BF176" s="73"/>
      <c r="BG176" s="73"/>
      <c r="BH176" s="73"/>
      <c r="BI176" s="73"/>
      <c r="BJ176" s="73"/>
      <c r="BK176" s="73"/>
      <c r="BL176" s="73"/>
      <c r="BM176" s="73"/>
      <c r="BN176" s="73"/>
      <c r="BO176" s="81"/>
    </row>
    <row r="177" spans="1:67" x14ac:dyDescent="0.3">
      <c r="A177" s="89" t="s">
        <v>44</v>
      </c>
      <c r="B177" s="89" t="s">
        <v>395</v>
      </c>
      <c r="C177" s="80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81"/>
      <c r="P177" s="80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81"/>
      <c r="AC177" s="80"/>
      <c r="AD177" s="73"/>
      <c r="AE177" s="73"/>
      <c r="AF177" s="73"/>
      <c r="AG177" s="73"/>
      <c r="AH177" s="73"/>
      <c r="AI177" s="73"/>
      <c r="AJ177" s="73"/>
      <c r="AK177" s="73"/>
      <c r="AL177" s="73"/>
      <c r="AM177" s="73"/>
      <c r="AN177" s="73"/>
      <c r="AO177" s="81"/>
      <c r="AP177" s="80"/>
      <c r="AQ177" s="73"/>
      <c r="AR177" s="73"/>
      <c r="AS177" s="73"/>
      <c r="AT177" s="73"/>
      <c r="AU177" s="73"/>
      <c r="AV177" s="73"/>
      <c r="AW177" s="73"/>
      <c r="AX177" s="73"/>
      <c r="AY177" s="73"/>
      <c r="AZ177" s="73"/>
      <c r="BA177" s="73"/>
      <c r="BB177" s="81"/>
      <c r="BC177" s="80"/>
      <c r="BD177" s="73"/>
      <c r="BE177" s="73"/>
      <c r="BF177" s="73"/>
      <c r="BG177" s="73"/>
      <c r="BH177" s="73"/>
      <c r="BI177" s="73"/>
      <c r="BJ177" s="73"/>
      <c r="BK177" s="73"/>
      <c r="BL177" s="73"/>
      <c r="BM177" s="73"/>
      <c r="BN177" s="73"/>
      <c r="BO177" s="81"/>
    </row>
    <row r="178" spans="1:67" x14ac:dyDescent="0.3">
      <c r="A178" s="89" t="s">
        <v>44</v>
      </c>
      <c r="B178" s="89" t="s">
        <v>397</v>
      </c>
      <c r="C178" s="80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81"/>
      <c r="P178" s="80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81"/>
      <c r="AC178" s="80"/>
      <c r="AD178" s="73"/>
      <c r="AE178" s="73"/>
      <c r="AF178" s="73"/>
      <c r="AG178" s="73"/>
      <c r="AH178" s="73"/>
      <c r="AI178" s="73"/>
      <c r="AJ178" s="73"/>
      <c r="AK178" s="73"/>
      <c r="AL178" s="73"/>
      <c r="AM178" s="73"/>
      <c r="AN178" s="73"/>
      <c r="AO178" s="81"/>
      <c r="AP178" s="80"/>
      <c r="AQ178" s="73"/>
      <c r="AR178" s="73"/>
      <c r="AS178" s="73"/>
      <c r="AT178" s="73"/>
      <c r="AU178" s="73"/>
      <c r="AV178" s="73"/>
      <c r="AW178" s="73"/>
      <c r="AX178" s="73"/>
      <c r="AY178" s="73"/>
      <c r="AZ178" s="73"/>
      <c r="BA178" s="73"/>
      <c r="BB178" s="81"/>
      <c r="BC178" s="80"/>
      <c r="BD178" s="73"/>
      <c r="BE178" s="73"/>
      <c r="BF178" s="73"/>
      <c r="BG178" s="73"/>
      <c r="BH178" s="73"/>
      <c r="BI178" s="73"/>
      <c r="BJ178" s="73"/>
      <c r="BK178" s="73"/>
      <c r="BL178" s="73"/>
      <c r="BM178" s="73"/>
      <c r="BN178" s="73"/>
      <c r="BO178" s="81"/>
    </row>
    <row r="179" spans="1:67" x14ac:dyDescent="0.3">
      <c r="A179" s="89" t="s">
        <v>108</v>
      </c>
      <c r="B179" s="89" t="s">
        <v>399</v>
      </c>
      <c r="C179" s="80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81"/>
      <c r="P179" s="80"/>
      <c r="Q179" s="73"/>
      <c r="R179" s="73"/>
      <c r="S179" s="73"/>
      <c r="T179" s="73"/>
      <c r="U179" s="73"/>
      <c r="V179" s="73"/>
      <c r="W179" s="73"/>
      <c r="X179" s="73"/>
      <c r="Y179" s="73"/>
      <c r="Z179" s="73"/>
      <c r="AA179" s="73"/>
      <c r="AB179" s="81"/>
      <c r="AC179" s="80"/>
      <c r="AD179" s="73"/>
      <c r="AE179" s="73"/>
      <c r="AF179" s="73"/>
      <c r="AG179" s="73"/>
      <c r="AH179" s="73"/>
      <c r="AI179" s="73"/>
      <c r="AJ179" s="73"/>
      <c r="AK179" s="73"/>
      <c r="AL179" s="73"/>
      <c r="AM179" s="73"/>
      <c r="AN179" s="73"/>
      <c r="AO179" s="81"/>
      <c r="AP179" s="80"/>
      <c r="AQ179" s="73"/>
      <c r="AR179" s="73"/>
      <c r="AS179" s="73"/>
      <c r="AT179" s="73"/>
      <c r="AU179" s="73"/>
      <c r="AV179" s="73"/>
      <c r="AW179" s="73"/>
      <c r="AX179" s="73"/>
      <c r="AY179" s="73"/>
      <c r="AZ179" s="73"/>
      <c r="BA179" s="73"/>
      <c r="BB179" s="81"/>
      <c r="BC179" s="80"/>
      <c r="BD179" s="73"/>
      <c r="BE179" s="73"/>
      <c r="BF179" s="73"/>
      <c r="BG179" s="73"/>
      <c r="BH179" s="73"/>
      <c r="BI179" s="73"/>
      <c r="BJ179" s="73"/>
      <c r="BK179" s="73"/>
      <c r="BL179" s="73"/>
      <c r="BM179" s="73"/>
      <c r="BN179" s="73"/>
      <c r="BO179" s="81"/>
    </row>
    <row r="180" spans="1:67" ht="15" thickBot="1" x14ac:dyDescent="0.35">
      <c r="A180" s="148" t="s">
        <v>44</v>
      </c>
      <c r="B180" s="148" t="s">
        <v>401</v>
      </c>
      <c r="C180" s="82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4"/>
      <c r="P180" s="82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4"/>
      <c r="AC180" s="82"/>
      <c r="AD180" s="83"/>
      <c r="AE180" s="83"/>
      <c r="AF180" s="83"/>
      <c r="AG180" s="83"/>
      <c r="AH180" s="83"/>
      <c r="AI180" s="83"/>
      <c r="AJ180" s="83"/>
      <c r="AK180" s="83"/>
      <c r="AL180" s="83"/>
      <c r="AM180" s="83"/>
      <c r="AN180" s="83"/>
      <c r="AO180" s="84"/>
      <c r="AP180" s="82"/>
      <c r="AQ180" s="83"/>
      <c r="AR180" s="83"/>
      <c r="AS180" s="83"/>
      <c r="AT180" s="83"/>
      <c r="AU180" s="83"/>
      <c r="AV180" s="83"/>
      <c r="AW180" s="83"/>
      <c r="AX180" s="83"/>
      <c r="AY180" s="83"/>
      <c r="AZ180" s="83"/>
      <c r="BA180" s="83"/>
      <c r="BB180" s="84"/>
      <c r="BC180" s="82"/>
      <c r="BD180" s="83"/>
      <c r="BE180" s="83"/>
      <c r="BF180" s="83"/>
      <c r="BG180" s="83"/>
      <c r="BH180" s="83"/>
      <c r="BI180" s="83"/>
      <c r="BJ180" s="83"/>
      <c r="BK180" s="83"/>
      <c r="BL180" s="83"/>
      <c r="BM180" s="83"/>
      <c r="BN180" s="83"/>
      <c r="BO180" s="84"/>
    </row>
  </sheetData>
  <mergeCells count="17">
    <mergeCell ref="AC2:AN2"/>
    <mergeCell ref="BC1:BO1"/>
    <mergeCell ref="BC2:BN2"/>
    <mergeCell ref="BO2:BO3"/>
    <mergeCell ref="A1:A3"/>
    <mergeCell ref="AO2:AO3"/>
    <mergeCell ref="AP2:BA2"/>
    <mergeCell ref="BB2:BB3"/>
    <mergeCell ref="B1:B3"/>
    <mergeCell ref="C1:O1"/>
    <mergeCell ref="P1:AB1"/>
    <mergeCell ref="AC1:AO1"/>
    <mergeCell ref="AP1:BB1"/>
    <mergeCell ref="C2:N2"/>
    <mergeCell ref="O2:O3"/>
    <mergeCell ref="P2:AA2"/>
    <mergeCell ref="AB2:AB3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58A4E-F674-4A0D-896A-C30F3F9A0FE4}">
  <dimension ref="A1:BD180"/>
  <sheetViews>
    <sheetView tabSelected="1" workbookViewId="0">
      <selection sqref="A1:A3"/>
    </sheetView>
  </sheetViews>
  <sheetFormatPr defaultRowHeight="14.4" x14ac:dyDescent="0.3"/>
  <cols>
    <col min="1" max="1" width="33.109375" customWidth="1"/>
    <col min="2" max="2" width="44.44140625" customWidth="1"/>
    <col min="3" max="28" width="8.88671875" customWidth="1"/>
    <col min="56" max="56" width="17.5546875" bestFit="1" customWidth="1"/>
    <col min="57" max="57" width="11.21875" bestFit="1" customWidth="1"/>
  </cols>
  <sheetData>
    <row r="1" spans="1:56" x14ac:dyDescent="0.3">
      <c r="A1" s="194" t="s">
        <v>8</v>
      </c>
      <c r="B1" s="191" t="s">
        <v>9</v>
      </c>
      <c r="C1" s="184">
        <v>2018</v>
      </c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184">
        <v>2019</v>
      </c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6"/>
      <c r="AC1" s="184">
        <v>2020</v>
      </c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6"/>
      <c r="AP1" s="184">
        <v>2021</v>
      </c>
      <c r="AQ1" s="185"/>
      <c r="AR1" s="185"/>
      <c r="AS1" s="185"/>
      <c r="AT1" s="185"/>
      <c r="AU1" s="185"/>
      <c r="AV1" s="185"/>
      <c r="AW1" s="185"/>
      <c r="AX1" s="185"/>
      <c r="AY1" s="185"/>
      <c r="AZ1" s="185"/>
      <c r="BA1" s="185"/>
      <c r="BB1" s="186"/>
    </row>
    <row r="2" spans="1:56" x14ac:dyDescent="0.3">
      <c r="A2" s="195"/>
      <c r="B2" s="192"/>
      <c r="C2" s="187" t="s">
        <v>419</v>
      </c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 t="s">
        <v>420</v>
      </c>
      <c r="P2" s="187" t="s">
        <v>419</v>
      </c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9" t="s">
        <v>420</v>
      </c>
      <c r="AC2" s="187" t="s">
        <v>419</v>
      </c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9" t="s">
        <v>420</v>
      </c>
      <c r="AP2" s="187" t="s">
        <v>419</v>
      </c>
      <c r="AQ2" s="188"/>
      <c r="AR2" s="188"/>
      <c r="AS2" s="188"/>
      <c r="AT2" s="188"/>
      <c r="AU2" s="188"/>
      <c r="AV2" s="188"/>
      <c r="AW2" s="188"/>
      <c r="AX2" s="188"/>
      <c r="AY2" s="188"/>
      <c r="AZ2" s="188"/>
      <c r="BA2" s="188"/>
      <c r="BB2" s="189" t="s">
        <v>420</v>
      </c>
    </row>
    <row r="3" spans="1:56" ht="15" thickBot="1" x14ac:dyDescent="0.35">
      <c r="A3" s="196"/>
      <c r="B3" s="193"/>
      <c r="C3" s="77" t="s">
        <v>403</v>
      </c>
      <c r="D3" s="76" t="s">
        <v>404</v>
      </c>
      <c r="E3" s="76" t="s">
        <v>405</v>
      </c>
      <c r="F3" s="76" t="s">
        <v>406</v>
      </c>
      <c r="G3" s="76" t="s">
        <v>407</v>
      </c>
      <c r="H3" s="76" t="s">
        <v>408</v>
      </c>
      <c r="I3" s="76" t="s">
        <v>409</v>
      </c>
      <c r="J3" s="76" t="s">
        <v>410</v>
      </c>
      <c r="K3" s="76" t="s">
        <v>411</v>
      </c>
      <c r="L3" s="76" t="s">
        <v>412</v>
      </c>
      <c r="M3" s="76" t="s">
        <v>413</v>
      </c>
      <c r="N3" s="76" t="s">
        <v>414</v>
      </c>
      <c r="O3" s="190"/>
      <c r="P3" s="77" t="s">
        <v>403</v>
      </c>
      <c r="Q3" s="76" t="s">
        <v>404</v>
      </c>
      <c r="R3" s="76" t="s">
        <v>405</v>
      </c>
      <c r="S3" s="76" t="s">
        <v>406</v>
      </c>
      <c r="T3" s="76" t="s">
        <v>407</v>
      </c>
      <c r="U3" s="76" t="s">
        <v>408</v>
      </c>
      <c r="V3" s="76" t="s">
        <v>409</v>
      </c>
      <c r="W3" s="76" t="s">
        <v>410</v>
      </c>
      <c r="X3" s="76" t="s">
        <v>411</v>
      </c>
      <c r="Y3" s="76" t="s">
        <v>412</v>
      </c>
      <c r="Z3" s="76" t="s">
        <v>413</v>
      </c>
      <c r="AA3" s="76" t="s">
        <v>414</v>
      </c>
      <c r="AB3" s="190"/>
      <c r="AC3" s="77" t="s">
        <v>403</v>
      </c>
      <c r="AD3" s="76" t="s">
        <v>404</v>
      </c>
      <c r="AE3" s="76" t="s">
        <v>405</v>
      </c>
      <c r="AF3" s="76" t="s">
        <v>406</v>
      </c>
      <c r="AG3" s="76" t="s">
        <v>407</v>
      </c>
      <c r="AH3" s="76" t="s">
        <v>408</v>
      </c>
      <c r="AI3" s="76" t="s">
        <v>409</v>
      </c>
      <c r="AJ3" s="76" t="s">
        <v>410</v>
      </c>
      <c r="AK3" s="76" t="s">
        <v>411</v>
      </c>
      <c r="AL3" s="76" t="s">
        <v>412</v>
      </c>
      <c r="AM3" s="76" t="s">
        <v>413</v>
      </c>
      <c r="AN3" s="76" t="s">
        <v>414</v>
      </c>
      <c r="AO3" s="190"/>
      <c r="AP3" s="113" t="s">
        <v>403</v>
      </c>
      <c r="AQ3" s="114" t="s">
        <v>404</v>
      </c>
      <c r="AR3" s="114" t="s">
        <v>405</v>
      </c>
      <c r="AS3" s="114" t="s">
        <v>406</v>
      </c>
      <c r="AT3" s="114" t="s">
        <v>407</v>
      </c>
      <c r="AU3" s="114" t="s">
        <v>408</v>
      </c>
      <c r="AV3" s="114" t="s">
        <v>409</v>
      </c>
      <c r="AW3" s="114" t="s">
        <v>410</v>
      </c>
      <c r="AX3" s="114" t="s">
        <v>411</v>
      </c>
      <c r="AY3" s="114" t="s">
        <v>412</v>
      </c>
      <c r="AZ3" s="114" t="s">
        <v>413</v>
      </c>
      <c r="BA3" s="114" t="s">
        <v>414</v>
      </c>
      <c r="BB3" s="197"/>
    </row>
    <row r="4" spans="1:56" x14ac:dyDescent="0.3">
      <c r="A4" s="115" t="s">
        <v>18</v>
      </c>
      <c r="B4" s="116" t="s">
        <v>19</v>
      </c>
      <c r="C4" s="78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9">
        <f>'Seznam OM'!H7</f>
        <v>569.98900000000003</v>
      </c>
      <c r="P4" s="78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9">
        <f>'Seznam OM'!I7</f>
        <v>636.41300000000001</v>
      </c>
      <c r="AC4" s="78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117">
        <f>'Seznam OM'!J7</f>
        <v>0</v>
      </c>
      <c r="AP4" s="118">
        <v>11.832000000000001</v>
      </c>
      <c r="AQ4" s="119">
        <v>10.496</v>
      </c>
      <c r="AR4" s="119">
        <v>10.568</v>
      </c>
      <c r="AS4" s="119">
        <v>9.4550000000000001</v>
      </c>
      <c r="AT4" s="119">
        <v>10.893000000000001</v>
      </c>
      <c r="AU4" s="119">
        <v>13.872</v>
      </c>
      <c r="AV4" s="119">
        <v>79.983999999999995</v>
      </c>
      <c r="AW4" s="119">
        <v>90.716999999999999</v>
      </c>
      <c r="AX4" s="119">
        <v>78.691000000000003</v>
      </c>
      <c r="AY4" s="119">
        <v>71.234999999999999</v>
      </c>
      <c r="AZ4" s="120">
        <v>0</v>
      </c>
      <c r="BA4" s="124">
        <v>0</v>
      </c>
      <c r="BB4" s="125">
        <f>SUM(AP4:BA4)</f>
        <v>387.74300000000005</v>
      </c>
      <c r="BD4" t="e">
        <f>VLOOKUP('Seznam OM'!C7,List1!$T$5:$AG$145,14,FALSE)</f>
        <v>#N/A</v>
      </c>
    </row>
    <row r="5" spans="1:56" x14ac:dyDescent="0.3">
      <c r="A5" s="74" t="s">
        <v>21</v>
      </c>
      <c r="B5" s="85" t="s">
        <v>22</v>
      </c>
      <c r="C5" s="80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9">
        <f>'Seznam OM'!H8</f>
        <v>302.565</v>
      </c>
      <c r="P5" s="80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9">
        <f>'Seznam OM'!I8</f>
        <v>0</v>
      </c>
      <c r="AC5" s="80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117">
        <f>'Seznam OM'!J8</f>
        <v>0</v>
      </c>
      <c r="AP5" s="80">
        <v>33.488</v>
      </c>
      <c r="AQ5" s="73">
        <v>30.868000000000002</v>
      </c>
      <c r="AR5" s="73">
        <v>31.382000000000001</v>
      </c>
      <c r="AS5" s="73">
        <v>26.155999999999999</v>
      </c>
      <c r="AT5" s="73">
        <v>24.928999999999998</v>
      </c>
      <c r="AU5" s="73">
        <v>25.382999999999999</v>
      </c>
      <c r="AV5" s="73">
        <v>24.865000000000002</v>
      </c>
      <c r="AW5" s="73">
        <v>24.542999999999999</v>
      </c>
      <c r="AX5" s="73">
        <v>23.88</v>
      </c>
      <c r="AY5" s="73">
        <v>25.225999999999999</v>
      </c>
      <c r="AZ5" s="73">
        <v>0</v>
      </c>
      <c r="BA5" s="121">
        <v>0</v>
      </c>
      <c r="BB5" s="126">
        <f t="shared" ref="BB5:BB68" si="0">SUM(AP5:BA5)</f>
        <v>270.72000000000003</v>
      </c>
    </row>
    <row r="6" spans="1:56" x14ac:dyDescent="0.3">
      <c r="A6" s="122" t="s">
        <v>25</v>
      </c>
      <c r="B6" s="85" t="s">
        <v>26</v>
      </c>
      <c r="C6" s="80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9">
        <f>'Seznam OM'!H9</f>
        <v>359.20299999999997</v>
      </c>
      <c r="P6" s="80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9">
        <f>'Seznam OM'!I9</f>
        <v>373.44</v>
      </c>
      <c r="AC6" s="80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117">
        <f>'Seznam OM'!J9</f>
        <v>0</v>
      </c>
      <c r="AP6" s="80">
        <v>14.288</v>
      </c>
      <c r="AQ6" s="73">
        <v>14.603</v>
      </c>
      <c r="AR6" s="73">
        <v>6.9249999999999998</v>
      </c>
      <c r="AS6" s="73">
        <v>4.5650000000000004</v>
      </c>
      <c r="AT6" s="73">
        <v>8.6829999999999998</v>
      </c>
      <c r="AU6" s="73">
        <v>33.518999999999998</v>
      </c>
      <c r="AV6" s="73">
        <v>20.507000000000001</v>
      </c>
      <c r="AW6" s="73">
        <v>31.300999999999998</v>
      </c>
      <c r="AX6" s="73">
        <v>28.343</v>
      </c>
      <c r="AY6" s="73">
        <v>30.946000000000002</v>
      </c>
      <c r="AZ6" s="73">
        <v>0</v>
      </c>
      <c r="BA6" s="121">
        <v>0</v>
      </c>
      <c r="BB6" s="126">
        <f t="shared" si="0"/>
        <v>193.67999999999998</v>
      </c>
      <c r="BD6" t="e">
        <f>VLOOKUP('Seznam OM'!C9,List1!$T$5:$AG$145,14,FALSE)</f>
        <v>#N/A</v>
      </c>
    </row>
    <row r="7" spans="1:56" x14ac:dyDescent="0.3">
      <c r="A7" s="74" t="s">
        <v>28</v>
      </c>
      <c r="B7" s="85" t="s">
        <v>29</v>
      </c>
      <c r="C7" s="80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9">
        <f>'Seznam OM'!H10</f>
        <v>287.64499999999998</v>
      </c>
      <c r="P7" s="80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9">
        <f>'Seznam OM'!I10</f>
        <v>225.44399999999999</v>
      </c>
      <c r="AC7" s="80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117">
        <f>'Seznam OM'!J10</f>
        <v>0</v>
      </c>
      <c r="AP7" s="80">
        <v>29.565000000000001</v>
      </c>
      <c r="AQ7" s="73">
        <v>27.13</v>
      </c>
      <c r="AR7" s="73">
        <v>31.225000000000001</v>
      </c>
      <c r="AS7" s="73">
        <v>29.23</v>
      </c>
      <c r="AT7" s="73">
        <v>29.971</v>
      </c>
      <c r="AU7" s="73">
        <v>38.866</v>
      </c>
      <c r="AV7" s="73">
        <v>40.456000000000003</v>
      </c>
      <c r="AW7" s="73">
        <v>36.308</v>
      </c>
      <c r="AX7" s="73">
        <v>31.663</v>
      </c>
      <c r="AY7" s="73">
        <v>31.178000000000001</v>
      </c>
      <c r="AZ7" s="73">
        <v>0</v>
      </c>
      <c r="BA7" s="121">
        <v>0</v>
      </c>
      <c r="BB7" s="126">
        <f t="shared" si="0"/>
        <v>325.59200000000004</v>
      </c>
      <c r="BD7" t="e">
        <f>VLOOKUP('Seznam OM'!C10,List1!$T$5:$AG$145,14,FALSE)</f>
        <v>#N/A</v>
      </c>
    </row>
    <row r="8" spans="1:56" x14ac:dyDescent="0.3">
      <c r="A8" s="109" t="s">
        <v>31</v>
      </c>
      <c r="B8" s="86" t="s">
        <v>32</v>
      </c>
      <c r="C8" s="80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9">
        <f>'Seznam OM'!H11</f>
        <v>0</v>
      </c>
      <c r="P8" s="80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9">
        <f>'Seznam OM'!I11</f>
        <v>0</v>
      </c>
      <c r="AC8" s="80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117">
        <f>'Seznam OM'!J11</f>
        <v>0</v>
      </c>
      <c r="AP8" s="80">
        <v>8.86</v>
      </c>
      <c r="AQ8" s="73">
        <v>7.2990000000000004</v>
      </c>
      <c r="AR8" s="73">
        <v>7.048</v>
      </c>
      <c r="AS8" s="73">
        <v>7.9009999999999998</v>
      </c>
      <c r="AT8" s="73">
        <v>10.103</v>
      </c>
      <c r="AU8" s="73">
        <v>11.523</v>
      </c>
      <c r="AV8" s="73">
        <v>6.8380000000000001</v>
      </c>
      <c r="AW8" s="73">
        <v>6.2350000000000003</v>
      </c>
      <c r="AX8" s="73">
        <v>11.368</v>
      </c>
      <c r="AY8" s="73">
        <v>10.987</v>
      </c>
      <c r="AZ8" s="73">
        <v>0</v>
      </c>
      <c r="BA8" s="121">
        <v>0</v>
      </c>
      <c r="BB8" s="126">
        <f t="shared" si="0"/>
        <v>88.161999999999992</v>
      </c>
      <c r="BD8" t="e">
        <f>VLOOKUP('Seznam OM'!C11,List1!$T$5:$AG$145,14,FALSE)</f>
        <v>#N/A</v>
      </c>
    </row>
    <row r="9" spans="1:56" x14ac:dyDescent="0.3">
      <c r="A9" s="74" t="s">
        <v>34</v>
      </c>
      <c r="B9" s="85" t="s">
        <v>35</v>
      </c>
      <c r="C9" s="80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9">
        <f>'Seznam OM'!H12</f>
        <v>0</v>
      </c>
      <c r="P9" s="80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9">
        <f>'Seznam OM'!I12</f>
        <v>0</v>
      </c>
      <c r="AC9" s="80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117">
        <f>'Seznam OM'!J12</f>
        <v>0</v>
      </c>
      <c r="AP9" s="80">
        <v>6.7130000000000001</v>
      </c>
      <c r="AQ9" s="73">
        <v>6.5990000000000002</v>
      </c>
      <c r="AR9" s="73">
        <v>7.77</v>
      </c>
      <c r="AS9" s="73">
        <v>7.5220000000000002</v>
      </c>
      <c r="AT9" s="73">
        <v>8.0429999999999993</v>
      </c>
      <c r="AU9" s="73">
        <v>9.6300000000000008</v>
      </c>
      <c r="AV9" s="73">
        <v>9.3759999999999994</v>
      </c>
      <c r="AW9" s="73">
        <v>9.4510000000000005</v>
      </c>
      <c r="AX9" s="73">
        <v>6.6760000000000002</v>
      </c>
      <c r="AY9" s="73">
        <v>7.4729999999999999</v>
      </c>
      <c r="AZ9" s="73">
        <v>0</v>
      </c>
      <c r="BA9" s="121">
        <v>0</v>
      </c>
      <c r="BB9" s="126">
        <f t="shared" si="0"/>
        <v>79.253</v>
      </c>
      <c r="BD9">
        <f>VLOOKUP('Seznam OM'!C12,List1!$T$5:$AG$145,14,FALSE)</f>
        <v>48.458596</v>
      </c>
    </row>
    <row r="10" spans="1:56" ht="52.8" customHeight="1" x14ac:dyDescent="0.3">
      <c r="A10" s="74" t="s">
        <v>37</v>
      </c>
      <c r="B10" s="85" t="s">
        <v>38</v>
      </c>
      <c r="C10" s="80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9">
        <f>'Seznam OM'!H13</f>
        <v>0</v>
      </c>
      <c r="P10" s="80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9">
        <f>'Seznam OM'!I13</f>
        <v>0</v>
      </c>
      <c r="AC10" s="80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117">
        <f>'Seznam OM'!J13</f>
        <v>0</v>
      </c>
      <c r="AP10" s="80">
        <v>11.109</v>
      </c>
      <c r="AQ10" s="73">
        <v>10.279</v>
      </c>
      <c r="AR10" s="73">
        <v>0.56000000000000005</v>
      </c>
      <c r="AS10" s="73">
        <v>5.4660000000000002</v>
      </c>
      <c r="AT10" s="73">
        <v>2.3450000000000002</v>
      </c>
      <c r="AU10" s="73">
        <v>0.184</v>
      </c>
      <c r="AV10" s="73">
        <v>0.23100000000000001</v>
      </c>
      <c r="AW10" s="73">
        <v>0.24399999999999999</v>
      </c>
      <c r="AX10" s="73">
        <v>0.252</v>
      </c>
      <c r="AY10" s="73">
        <v>5.9340000000000002</v>
      </c>
      <c r="AZ10" s="73">
        <v>0</v>
      </c>
      <c r="BA10" s="121">
        <v>0</v>
      </c>
      <c r="BB10" s="126">
        <f t="shared" si="0"/>
        <v>36.603999999999999</v>
      </c>
    </row>
    <row r="11" spans="1:56" x14ac:dyDescent="0.3">
      <c r="A11" s="74" t="s">
        <v>40</v>
      </c>
      <c r="B11" s="85" t="s">
        <v>41</v>
      </c>
      <c r="C11" s="80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9">
        <f>'Seznam OM'!H14</f>
        <v>80.003</v>
      </c>
      <c r="P11" s="80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9">
        <f>'Seznam OM'!I14</f>
        <v>76.91</v>
      </c>
      <c r="AC11" s="80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117">
        <f>'Seznam OM'!J14</f>
        <v>62.647999999999996</v>
      </c>
      <c r="AP11" s="80">
        <v>6.0610000000000008</v>
      </c>
      <c r="AQ11" s="73">
        <v>4.7430000000000003</v>
      </c>
      <c r="AR11" s="73">
        <v>3.7109999999999999</v>
      </c>
      <c r="AS11" s="73">
        <v>4.6880000000000006</v>
      </c>
      <c r="AT11" s="73">
        <v>5.9</v>
      </c>
      <c r="AU11" s="73">
        <v>5.4160000000000004</v>
      </c>
      <c r="AV11" s="73">
        <v>3.2590000000000003</v>
      </c>
      <c r="AW11" s="73">
        <v>2.6349999999999998</v>
      </c>
      <c r="AX11" s="73">
        <v>6.0250000000000004</v>
      </c>
      <c r="AY11" s="73">
        <v>6.8049999999999997</v>
      </c>
      <c r="AZ11" s="73">
        <v>0</v>
      </c>
      <c r="BA11" s="121">
        <v>0</v>
      </c>
      <c r="BB11" s="126">
        <f t="shared" si="0"/>
        <v>49.243000000000002</v>
      </c>
    </row>
    <row r="12" spans="1:56" x14ac:dyDescent="0.3">
      <c r="A12" s="74" t="s">
        <v>44</v>
      </c>
      <c r="B12" s="85" t="s">
        <v>45</v>
      </c>
      <c r="C12" s="80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9">
        <f>'Seznam OM'!H15</f>
        <v>0</v>
      </c>
      <c r="P12" s="80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9">
        <f>'Seznam OM'!I15</f>
        <v>0</v>
      </c>
      <c r="AC12" s="80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117">
        <f>'Seznam OM'!J15</f>
        <v>0</v>
      </c>
      <c r="AP12" s="80">
        <v>19.916999999999998</v>
      </c>
      <c r="AQ12" s="73">
        <v>17.385000000000002</v>
      </c>
      <c r="AR12" s="73">
        <v>8.1549999999999994</v>
      </c>
      <c r="AS12" s="73">
        <v>0</v>
      </c>
      <c r="AT12" s="73">
        <v>0</v>
      </c>
      <c r="AU12" s="73">
        <v>0</v>
      </c>
      <c r="AV12" s="73">
        <v>0</v>
      </c>
      <c r="AW12" s="73">
        <v>0</v>
      </c>
      <c r="AX12" s="73">
        <v>0</v>
      </c>
      <c r="AY12" s="73">
        <v>0</v>
      </c>
      <c r="AZ12" s="73">
        <v>0</v>
      </c>
      <c r="BA12" s="121">
        <v>0</v>
      </c>
      <c r="BB12" s="126">
        <f t="shared" si="0"/>
        <v>45.457000000000001</v>
      </c>
    </row>
    <row r="13" spans="1:56" x14ac:dyDescent="0.3">
      <c r="A13" s="74" t="s">
        <v>47</v>
      </c>
      <c r="B13" s="85" t="s">
        <v>48</v>
      </c>
      <c r="C13" s="80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9">
        <f>'Seznam OM'!H16</f>
        <v>0</v>
      </c>
      <c r="P13" s="80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9">
        <f>'Seznam OM'!I16</f>
        <v>43.35</v>
      </c>
      <c r="AC13" s="80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117">
        <f>'Seznam OM'!J16</f>
        <v>71.831999999999994</v>
      </c>
      <c r="AP13" s="80">
        <v>6.0880000000000001</v>
      </c>
      <c r="AQ13" s="73">
        <v>5.3</v>
      </c>
      <c r="AR13" s="73">
        <v>4.0730000000000004</v>
      </c>
      <c r="AS13" s="73">
        <v>0</v>
      </c>
      <c r="AT13" s="73">
        <v>0</v>
      </c>
      <c r="AU13" s="73">
        <v>0</v>
      </c>
      <c r="AV13" s="73">
        <v>0</v>
      </c>
      <c r="AW13" s="73">
        <v>0</v>
      </c>
      <c r="AX13" s="73">
        <v>0</v>
      </c>
      <c r="AY13" s="73">
        <v>0</v>
      </c>
      <c r="AZ13" s="73">
        <v>0</v>
      </c>
      <c r="BA13" s="121">
        <v>0</v>
      </c>
      <c r="BB13" s="126">
        <f t="shared" si="0"/>
        <v>15.461</v>
      </c>
      <c r="BD13" t="e">
        <f>VLOOKUP('Seznam OM'!C16,List1!$T$5:$AG$145,14,FALSE)</f>
        <v>#N/A</v>
      </c>
    </row>
    <row r="14" spans="1:56" x14ac:dyDescent="0.3">
      <c r="A14" s="74" t="s">
        <v>50</v>
      </c>
      <c r="B14" s="85" t="s">
        <v>51</v>
      </c>
      <c r="C14" s="80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9">
        <f>'Seznam OM'!H17</f>
        <v>67.841999999999999</v>
      </c>
      <c r="P14" s="80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9">
        <f>'Seznam OM'!I17</f>
        <v>67.622</v>
      </c>
      <c r="AC14" s="80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117">
        <f>'Seznam OM'!J17</f>
        <v>56.801000000000002</v>
      </c>
      <c r="AP14" s="80">
        <v>5.9349999999999996</v>
      </c>
      <c r="AQ14" s="73">
        <v>4.9009999999999998</v>
      </c>
      <c r="AR14" s="73">
        <v>4.2619999999999996</v>
      </c>
      <c r="AS14" s="73">
        <v>3.6589999999999998</v>
      </c>
      <c r="AT14" s="73">
        <v>5.09</v>
      </c>
      <c r="AU14" s="73">
        <v>4.9539999999999997</v>
      </c>
      <c r="AV14" s="73">
        <v>3.5920000000000001</v>
      </c>
      <c r="AW14" s="73">
        <v>2.8119999999999998</v>
      </c>
      <c r="AX14" s="73">
        <v>5.6360000000000001</v>
      </c>
      <c r="AY14" s="73">
        <v>6.6379999999999999</v>
      </c>
      <c r="AZ14" s="73">
        <v>0</v>
      </c>
      <c r="BA14" s="121">
        <v>0</v>
      </c>
      <c r="BB14" s="126">
        <f t="shared" si="0"/>
        <v>47.478999999999999</v>
      </c>
      <c r="BD14" t="e">
        <f>VLOOKUP('Seznam OM'!C17,List1!$T$5:$AG$145,14,FALSE)</f>
        <v>#N/A</v>
      </c>
    </row>
    <row r="15" spans="1:56" x14ac:dyDescent="0.3">
      <c r="A15" s="90" t="s">
        <v>53</v>
      </c>
      <c r="B15" s="85" t="s">
        <v>54</v>
      </c>
      <c r="C15" s="80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9">
        <f>'Seznam OM'!H18</f>
        <v>53.896999999999998</v>
      </c>
      <c r="P15" s="80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9">
        <f>'Seznam OM'!I18</f>
        <v>0</v>
      </c>
      <c r="AC15" s="80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117">
        <f>'Seznam OM'!J18</f>
        <v>0</v>
      </c>
      <c r="AP15" s="80">
        <v>4.5590000000000002</v>
      </c>
      <c r="AQ15" s="73">
        <v>4.1349999999999998</v>
      </c>
      <c r="AR15" s="73">
        <v>2.762</v>
      </c>
      <c r="AS15" s="73">
        <v>3.1190000000000002</v>
      </c>
      <c r="AT15" s="73">
        <v>4.266</v>
      </c>
      <c r="AU15" s="73">
        <v>4.8769999999999998</v>
      </c>
      <c r="AV15" s="73">
        <v>2.1850000000000001</v>
      </c>
      <c r="AW15" s="73">
        <v>1.5569999999999999</v>
      </c>
      <c r="AX15" s="73">
        <v>4.2910000000000004</v>
      </c>
      <c r="AY15" s="73">
        <v>4.5030000000000001</v>
      </c>
      <c r="AZ15" s="73">
        <v>0</v>
      </c>
      <c r="BA15" s="121">
        <v>0</v>
      </c>
      <c r="BB15" s="126">
        <f t="shared" si="0"/>
        <v>36.253999999999998</v>
      </c>
      <c r="BD15" t="e">
        <f>VLOOKUP('Seznam OM'!C18,List1!$T$5:$AG$145,14,FALSE)</f>
        <v>#N/A</v>
      </c>
    </row>
    <row r="16" spans="1:56" x14ac:dyDescent="0.3">
      <c r="A16" s="109" t="s">
        <v>56</v>
      </c>
      <c r="B16" s="86" t="s">
        <v>57</v>
      </c>
      <c r="C16" s="80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9">
        <f>'Seznam OM'!H19</f>
        <v>61.186</v>
      </c>
      <c r="P16" s="80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9">
        <f>'Seznam OM'!I19</f>
        <v>0</v>
      </c>
      <c r="AC16" s="80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117">
        <f>'Seznam OM'!J19</f>
        <v>0</v>
      </c>
      <c r="AP16" s="80">
        <v>4.0869999999999997</v>
      </c>
      <c r="AQ16" s="73">
        <v>4.0220000000000002</v>
      </c>
      <c r="AR16" s="73">
        <v>4.3949999999999996</v>
      </c>
      <c r="AS16" s="73">
        <v>4.1239999999999997</v>
      </c>
      <c r="AT16" s="73">
        <v>4.2149999999999999</v>
      </c>
      <c r="AU16" s="73">
        <v>4.6619999999999999</v>
      </c>
      <c r="AV16" s="73">
        <v>4.4189999999999996</v>
      </c>
      <c r="AW16" s="73">
        <v>4.3230000000000004</v>
      </c>
      <c r="AX16" s="73">
        <v>3.907</v>
      </c>
      <c r="AY16" s="73">
        <v>4.077</v>
      </c>
      <c r="AZ16" s="73">
        <v>0</v>
      </c>
      <c r="BA16" s="121">
        <v>0</v>
      </c>
      <c r="BB16" s="126">
        <f t="shared" si="0"/>
        <v>42.230999999999995</v>
      </c>
      <c r="BD16">
        <f>VLOOKUP('Seznam OM'!C19,List1!$T$5:$AG$145,14,FALSE)</f>
        <v>59.152000000000001</v>
      </c>
    </row>
    <row r="17" spans="1:56" x14ac:dyDescent="0.3">
      <c r="A17" s="74" t="s">
        <v>59</v>
      </c>
      <c r="B17" s="85" t="s">
        <v>60</v>
      </c>
      <c r="C17" s="80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9">
        <f>'Seznam OM'!H20</f>
        <v>41.203000000000003</v>
      </c>
      <c r="P17" s="80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9">
        <f>'Seznam OM'!I20</f>
        <v>34.022999999999996</v>
      </c>
      <c r="AC17" s="80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117">
        <f>'Seznam OM'!J20</f>
        <v>0</v>
      </c>
      <c r="AP17" s="80">
        <v>3.081</v>
      </c>
      <c r="AQ17" s="73">
        <v>2.4</v>
      </c>
      <c r="AR17" s="73">
        <v>1.6080000000000001</v>
      </c>
      <c r="AS17" s="73">
        <v>1.147</v>
      </c>
      <c r="AT17" s="73">
        <v>0.253</v>
      </c>
      <c r="AU17" s="73">
        <v>0.82499999999999996</v>
      </c>
      <c r="AV17" s="73">
        <v>0.77300000000000002</v>
      </c>
      <c r="AW17" s="73">
        <v>0.39500000000000002</v>
      </c>
      <c r="AX17" s="73">
        <v>0.35599999999999998</v>
      </c>
      <c r="AY17" s="73">
        <v>1.206</v>
      </c>
      <c r="AZ17" s="73">
        <v>0</v>
      </c>
      <c r="BA17" s="121">
        <v>0</v>
      </c>
      <c r="BB17" s="126">
        <f t="shared" si="0"/>
        <v>12.043999999999999</v>
      </c>
    </row>
    <row r="18" spans="1:56" x14ac:dyDescent="0.3">
      <c r="A18" s="74" t="s">
        <v>62</v>
      </c>
      <c r="B18" s="85" t="s">
        <v>63</v>
      </c>
      <c r="C18" s="80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9">
        <f>'Seznam OM'!H21</f>
        <v>0</v>
      </c>
      <c r="P18" s="80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9">
        <f>'Seznam OM'!I21</f>
        <v>0</v>
      </c>
      <c r="AC18" s="80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117">
        <f>'Seznam OM'!J21</f>
        <v>0</v>
      </c>
      <c r="AP18" s="80">
        <v>2.585</v>
      </c>
      <c r="AQ18" s="73">
        <v>2.34</v>
      </c>
      <c r="AR18" s="73">
        <v>2.044</v>
      </c>
      <c r="AS18" s="73">
        <v>0</v>
      </c>
      <c r="AT18" s="73">
        <v>0</v>
      </c>
      <c r="AU18" s="73">
        <v>0</v>
      </c>
      <c r="AV18" s="73">
        <v>0</v>
      </c>
      <c r="AW18" s="73">
        <v>0</v>
      </c>
      <c r="AX18" s="73">
        <v>0</v>
      </c>
      <c r="AY18" s="73">
        <v>0</v>
      </c>
      <c r="AZ18" s="73">
        <v>0</v>
      </c>
      <c r="BA18" s="121">
        <v>0</v>
      </c>
      <c r="BB18" s="126">
        <f t="shared" si="0"/>
        <v>6.9689999999999994</v>
      </c>
      <c r="BD18" t="e">
        <f>VLOOKUP('Seznam OM'!C21,List1!$T$5:$AG$145,14,FALSE)</f>
        <v>#N/A</v>
      </c>
    </row>
    <row r="19" spans="1:56" x14ac:dyDescent="0.3">
      <c r="A19" s="74" t="s">
        <v>65</v>
      </c>
      <c r="B19" s="85" t="s">
        <v>66</v>
      </c>
      <c r="C19" s="80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9">
        <f>'Seznam OM'!H22</f>
        <v>0</v>
      </c>
      <c r="P19" s="80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9">
        <f>'Seznam OM'!I22</f>
        <v>0</v>
      </c>
      <c r="AC19" s="80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117">
        <f>'Seznam OM'!J22</f>
        <v>0</v>
      </c>
      <c r="AP19" s="80">
        <v>1.9000000000000001</v>
      </c>
      <c r="AQ19" s="73">
        <v>1.72</v>
      </c>
      <c r="AR19" s="73">
        <v>1.825</v>
      </c>
      <c r="AS19" s="73">
        <v>1.3419999999999999</v>
      </c>
      <c r="AT19" s="73">
        <v>1.4620000000000002</v>
      </c>
      <c r="AU19" s="73">
        <v>1.5510000000000002</v>
      </c>
      <c r="AV19" s="73">
        <v>1.004</v>
      </c>
      <c r="AW19" s="73">
        <v>1.02</v>
      </c>
      <c r="AX19" s="73">
        <v>1.0030000000000001</v>
      </c>
      <c r="AY19" s="73">
        <v>0</v>
      </c>
      <c r="AZ19" s="73">
        <v>0</v>
      </c>
      <c r="BA19" s="121">
        <v>0</v>
      </c>
      <c r="BB19" s="126">
        <f t="shared" si="0"/>
        <v>12.827</v>
      </c>
    </row>
    <row r="20" spans="1:56" x14ac:dyDescent="0.3">
      <c r="A20" s="74" t="s">
        <v>68</v>
      </c>
      <c r="B20" s="85" t="s">
        <v>69</v>
      </c>
      <c r="C20" s="80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9">
        <f>'Seznam OM'!H23</f>
        <v>0</v>
      </c>
      <c r="P20" s="80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9">
        <f>'Seznam OM'!I23</f>
        <v>0</v>
      </c>
      <c r="AC20" s="80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117">
        <f>'Seznam OM'!J23</f>
        <v>0</v>
      </c>
      <c r="AP20" s="80">
        <v>0</v>
      </c>
      <c r="AQ20" s="73">
        <v>0</v>
      </c>
      <c r="AR20" s="73">
        <v>0</v>
      </c>
      <c r="AS20" s="73">
        <v>0</v>
      </c>
      <c r="AT20" s="73">
        <v>0</v>
      </c>
      <c r="AU20" s="73">
        <v>0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  <c r="BA20" s="121">
        <v>0</v>
      </c>
      <c r="BB20" s="126">
        <f t="shared" si="0"/>
        <v>0</v>
      </c>
      <c r="BD20" t="e">
        <f>VLOOKUP('Seznam OM'!C23,List1!$T$5:$AG$145,14,FALSE)</f>
        <v>#N/A</v>
      </c>
    </row>
    <row r="21" spans="1:56" x14ac:dyDescent="0.3">
      <c r="A21" s="74" t="s">
        <v>47</v>
      </c>
      <c r="B21" s="85" t="s">
        <v>71</v>
      </c>
      <c r="C21" s="80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9">
        <f>'Seznam OM'!H24</f>
        <v>0</v>
      </c>
      <c r="P21" s="80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9">
        <f>'Seznam OM'!I24</f>
        <v>0</v>
      </c>
      <c r="AC21" s="80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117">
        <f>'Seznam OM'!J24</f>
        <v>39.353000000000002</v>
      </c>
      <c r="AP21" s="80">
        <v>6.0149999999999997</v>
      </c>
      <c r="AQ21" s="73">
        <v>6.5019999999999998</v>
      </c>
      <c r="AR21" s="73">
        <v>4.7780000000000005</v>
      </c>
      <c r="AS21" s="73">
        <v>3.137</v>
      </c>
      <c r="AT21" s="73">
        <v>2.4969999999999999</v>
      </c>
      <c r="AU21" s="73">
        <v>1.9970000000000001</v>
      </c>
      <c r="AV21" s="73">
        <v>2.3149999999999999</v>
      </c>
      <c r="AW21" s="73">
        <v>2.1469999999999998</v>
      </c>
      <c r="AX21" s="73">
        <v>2.0569999999999999</v>
      </c>
      <c r="AY21" s="73">
        <v>2.6059999999999999</v>
      </c>
      <c r="AZ21" s="73">
        <v>0</v>
      </c>
      <c r="BA21" s="121">
        <v>0</v>
      </c>
      <c r="BB21" s="126">
        <f t="shared" si="0"/>
        <v>34.051000000000002</v>
      </c>
    </row>
    <row r="22" spans="1:56" x14ac:dyDescent="0.3">
      <c r="A22" s="74" t="s">
        <v>68</v>
      </c>
      <c r="B22" s="85" t="s">
        <v>73</v>
      </c>
      <c r="C22" s="80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9">
        <f>'Seznam OM'!H25</f>
        <v>37.540999999999997</v>
      </c>
      <c r="P22" s="80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9">
        <f>'Seznam OM'!I25</f>
        <v>33.945</v>
      </c>
      <c r="AC22" s="80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117">
        <f>'Seznam OM'!J25</f>
        <v>33.83</v>
      </c>
      <c r="AP22" s="80">
        <v>3.6850000000000001</v>
      </c>
      <c r="AQ22" s="73">
        <v>3.399</v>
      </c>
      <c r="AR22" s="73">
        <v>2.8319999999999999</v>
      </c>
      <c r="AS22" s="73">
        <v>3.101</v>
      </c>
      <c r="AT22" s="73">
        <v>3.7370000000000001</v>
      </c>
      <c r="AU22" s="73">
        <v>4.165</v>
      </c>
      <c r="AV22" s="73">
        <v>0.998</v>
      </c>
      <c r="AW22" s="73">
        <v>2.62</v>
      </c>
      <c r="AX22" s="73">
        <v>3.79</v>
      </c>
      <c r="AY22" s="73">
        <v>3.92</v>
      </c>
      <c r="AZ22" s="73">
        <v>0</v>
      </c>
      <c r="BA22" s="121">
        <v>0</v>
      </c>
      <c r="BB22" s="126">
        <f t="shared" si="0"/>
        <v>32.247</v>
      </c>
      <c r="BD22" t="e">
        <f>VLOOKUP('Seznam OM'!C25,List1!$T$5:$AG$145,14,FALSE)</f>
        <v>#N/A</v>
      </c>
    </row>
    <row r="23" spans="1:56" x14ac:dyDescent="0.3">
      <c r="A23" s="74" t="s">
        <v>68</v>
      </c>
      <c r="B23" s="85" t="s">
        <v>75</v>
      </c>
      <c r="C23" s="80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9">
        <f>'Seznam OM'!H26</f>
        <v>34.634999999999998</v>
      </c>
      <c r="P23" s="80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9">
        <f>'Seznam OM'!I26</f>
        <v>33.445</v>
      </c>
      <c r="AC23" s="80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117">
        <f>'Seznam OM'!J26</f>
        <v>27.03</v>
      </c>
      <c r="AP23" s="80">
        <v>2.6160000000000001</v>
      </c>
      <c r="AQ23" s="73">
        <v>2.335</v>
      </c>
      <c r="AR23" s="73">
        <v>1.21</v>
      </c>
      <c r="AS23" s="73">
        <v>0</v>
      </c>
      <c r="AT23" s="73">
        <v>0</v>
      </c>
      <c r="AU23" s="73">
        <v>0</v>
      </c>
      <c r="AV23" s="73">
        <v>0</v>
      </c>
      <c r="AW23" s="73">
        <v>0</v>
      </c>
      <c r="AX23" s="73">
        <v>0</v>
      </c>
      <c r="AY23" s="73">
        <v>0</v>
      </c>
      <c r="AZ23" s="73">
        <v>0</v>
      </c>
      <c r="BA23" s="121">
        <v>0</v>
      </c>
      <c r="BB23" s="126">
        <f t="shared" si="0"/>
        <v>6.1610000000000005</v>
      </c>
      <c r="BD23" t="e">
        <f>VLOOKUP('Seznam OM'!C26,List1!$T$5:$AG$145,14,FALSE)</f>
        <v>#N/A</v>
      </c>
    </row>
    <row r="24" spans="1:56" x14ac:dyDescent="0.3">
      <c r="A24" s="74" t="s">
        <v>65</v>
      </c>
      <c r="B24" s="85" t="s">
        <v>77</v>
      </c>
      <c r="C24" s="80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9">
        <f>'Seznam OM'!H27</f>
        <v>0</v>
      </c>
      <c r="P24" s="80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9">
        <f>'Seznam OM'!I27</f>
        <v>0</v>
      </c>
      <c r="AC24" s="80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117">
        <f>'Seznam OM'!J27</f>
        <v>0</v>
      </c>
      <c r="AP24" s="80">
        <v>1.724</v>
      </c>
      <c r="AQ24" s="73">
        <v>1.5609999999999999</v>
      </c>
      <c r="AR24" s="73">
        <v>1.657</v>
      </c>
      <c r="AS24" s="73">
        <v>1.861</v>
      </c>
      <c r="AT24" s="73">
        <v>2.0990000000000002</v>
      </c>
      <c r="AU24" s="73">
        <v>2.3149999999999999</v>
      </c>
      <c r="AV24" s="73">
        <v>1.3679999999999999</v>
      </c>
      <c r="AW24" s="73">
        <v>1.389</v>
      </c>
      <c r="AX24" s="73">
        <v>1.3660000000000001</v>
      </c>
      <c r="AY24" s="73">
        <v>0</v>
      </c>
      <c r="AZ24" s="73">
        <v>0</v>
      </c>
      <c r="BA24" s="121">
        <v>0</v>
      </c>
      <c r="BB24" s="126">
        <f t="shared" si="0"/>
        <v>15.34</v>
      </c>
    </row>
    <row r="25" spans="1:56" x14ac:dyDescent="0.3">
      <c r="A25" s="74" t="s">
        <v>79</v>
      </c>
      <c r="B25" s="85" t="s">
        <v>80</v>
      </c>
      <c r="C25" s="80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9">
        <f>'Seznam OM'!H28</f>
        <v>0</v>
      </c>
      <c r="P25" s="80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9">
        <f>'Seznam OM'!I28</f>
        <v>0</v>
      </c>
      <c r="AC25" s="80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117">
        <f>'Seznam OM'!J28</f>
        <v>0</v>
      </c>
      <c r="AP25" s="80">
        <v>2.1379999999999999</v>
      </c>
      <c r="AQ25" s="73">
        <v>1.8</v>
      </c>
      <c r="AR25" s="73">
        <v>0.78800000000000003</v>
      </c>
      <c r="AS25" s="73">
        <v>1.6910000000000001</v>
      </c>
      <c r="AT25" s="73">
        <v>2.3679999999999999</v>
      </c>
      <c r="AU25" s="73">
        <v>2.1970000000000001</v>
      </c>
      <c r="AV25" s="73">
        <v>0.623</v>
      </c>
      <c r="AW25" s="73">
        <v>1.0309999999999999</v>
      </c>
      <c r="AX25" s="73">
        <v>2.6120000000000001</v>
      </c>
      <c r="AY25" s="73">
        <v>2.75</v>
      </c>
      <c r="AZ25" s="73">
        <v>0</v>
      </c>
      <c r="BA25" s="121">
        <v>0</v>
      </c>
      <c r="BB25" s="126">
        <f t="shared" si="0"/>
        <v>17.997999999999998</v>
      </c>
      <c r="BD25" t="e">
        <f>VLOOKUP('Seznam OM'!C28,List1!$T$5:$AG$145,14,FALSE)</f>
        <v>#N/A</v>
      </c>
    </row>
    <row r="26" spans="1:56" x14ac:dyDescent="0.3">
      <c r="A26" s="74" t="s">
        <v>82</v>
      </c>
      <c r="B26" s="85" t="s">
        <v>83</v>
      </c>
      <c r="C26" s="80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9">
        <f>'Seznam OM'!H29</f>
        <v>23.678999999999998</v>
      </c>
      <c r="P26" s="80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9">
        <f>'Seznam OM'!I29</f>
        <v>0</v>
      </c>
      <c r="AC26" s="80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117">
        <f>'Seznam OM'!J29</f>
        <v>0</v>
      </c>
      <c r="AP26" s="80">
        <v>0.96399999999999997</v>
      </c>
      <c r="AQ26" s="73">
        <v>0.88900000000000001</v>
      </c>
      <c r="AR26" s="73">
        <v>0.88900000000000001</v>
      </c>
      <c r="AS26" s="73">
        <v>1.1950000000000001</v>
      </c>
      <c r="AT26" s="73">
        <v>1.1200000000000001</v>
      </c>
      <c r="AU26" s="73">
        <v>2.0009999999999999</v>
      </c>
      <c r="AV26" s="73">
        <v>1.889</v>
      </c>
      <c r="AW26" s="73">
        <v>1.349</v>
      </c>
      <c r="AX26" s="73">
        <v>1.222</v>
      </c>
      <c r="AY26" s="73">
        <v>1.5409999999999999</v>
      </c>
      <c r="AZ26" s="73">
        <v>0</v>
      </c>
      <c r="BA26" s="121">
        <v>0</v>
      </c>
      <c r="BB26" s="126">
        <f t="shared" si="0"/>
        <v>13.058999999999999</v>
      </c>
      <c r="BD26" t="e">
        <f>VLOOKUP('Seznam OM'!C29,List1!$T$5:$AG$145,14,FALSE)</f>
        <v>#N/A</v>
      </c>
    </row>
    <row r="27" spans="1:56" x14ac:dyDescent="0.3">
      <c r="A27" s="74" t="s">
        <v>85</v>
      </c>
      <c r="B27" s="85" t="s">
        <v>86</v>
      </c>
      <c r="C27" s="80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9">
        <f>'Seznam OM'!H30</f>
        <v>20.007000000000001</v>
      </c>
      <c r="P27" s="80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9">
        <f>'Seznam OM'!I30</f>
        <v>0</v>
      </c>
      <c r="AC27" s="80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117">
        <f>'Seznam OM'!J30</f>
        <v>0</v>
      </c>
      <c r="AP27" s="80">
        <v>1.623</v>
      </c>
      <c r="AQ27" s="73">
        <v>1.4490000000000001</v>
      </c>
      <c r="AR27" s="73">
        <v>1.506</v>
      </c>
      <c r="AS27" s="73">
        <v>0.60799999999999998</v>
      </c>
      <c r="AT27" s="73">
        <v>0</v>
      </c>
      <c r="AU27" s="73">
        <v>0</v>
      </c>
      <c r="AV27" s="73">
        <v>0</v>
      </c>
      <c r="AW27" s="73">
        <v>0</v>
      </c>
      <c r="AX27" s="73">
        <v>0</v>
      </c>
      <c r="AY27" s="73">
        <v>0</v>
      </c>
      <c r="AZ27" s="73">
        <v>0</v>
      </c>
      <c r="BA27" s="121">
        <v>0</v>
      </c>
      <c r="BB27" s="126">
        <f t="shared" si="0"/>
        <v>5.1859999999999999</v>
      </c>
      <c r="BD27" t="e">
        <f>VLOOKUP('Seznam OM'!C30,List1!$T$5:$AG$145,14,FALSE)</f>
        <v>#N/A</v>
      </c>
    </row>
    <row r="28" spans="1:56" x14ac:dyDescent="0.3">
      <c r="A28" s="74" t="s">
        <v>47</v>
      </c>
      <c r="B28" s="85" t="s">
        <v>88</v>
      </c>
      <c r="C28" s="80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9">
        <f>'Seznam OM'!H31</f>
        <v>22.573</v>
      </c>
      <c r="P28" s="80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9">
        <f>'Seznam OM'!I31</f>
        <v>20.928000000000001</v>
      </c>
      <c r="AC28" s="80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117">
        <f>'Seznam OM'!J31</f>
        <v>22.863</v>
      </c>
      <c r="AP28" s="80">
        <v>0.83600000000000008</v>
      </c>
      <c r="AQ28" s="73">
        <v>0.47400000000000003</v>
      </c>
      <c r="AR28" s="73">
        <v>0</v>
      </c>
      <c r="AS28" s="73">
        <v>0</v>
      </c>
      <c r="AT28" s="73">
        <v>0</v>
      </c>
      <c r="AU28" s="73">
        <v>0</v>
      </c>
      <c r="AV28" s="73">
        <v>0</v>
      </c>
      <c r="AW28" s="73">
        <v>0</v>
      </c>
      <c r="AX28" s="73">
        <v>0</v>
      </c>
      <c r="AY28" s="73">
        <v>0</v>
      </c>
      <c r="AZ28" s="73">
        <v>0</v>
      </c>
      <c r="BA28" s="121">
        <v>0</v>
      </c>
      <c r="BB28" s="126">
        <f t="shared" si="0"/>
        <v>1.31</v>
      </c>
    </row>
    <row r="29" spans="1:56" x14ac:dyDescent="0.3">
      <c r="A29" s="90" t="s">
        <v>53</v>
      </c>
      <c r="B29" s="85" t="s">
        <v>90</v>
      </c>
      <c r="C29" s="80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9">
        <f>'Seznam OM'!H32</f>
        <v>14.102</v>
      </c>
      <c r="P29" s="80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9">
        <f>'Seznam OM'!I32</f>
        <v>0</v>
      </c>
      <c r="AC29" s="80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117">
        <f>'Seznam OM'!J32</f>
        <v>0</v>
      </c>
      <c r="AP29" s="80">
        <v>3.3120000000000003</v>
      </c>
      <c r="AQ29" s="73">
        <v>3.242</v>
      </c>
      <c r="AR29" s="73">
        <v>3.4420000000000002</v>
      </c>
      <c r="AS29" s="73">
        <v>1.6459999999999999</v>
      </c>
      <c r="AT29" s="73">
        <v>1.6359999999999999</v>
      </c>
      <c r="AU29" s="73">
        <v>1.552</v>
      </c>
      <c r="AV29" s="73">
        <v>0.751</v>
      </c>
      <c r="AW29" s="73">
        <v>0.76300000000000001</v>
      </c>
      <c r="AX29" s="73">
        <v>0.75</v>
      </c>
      <c r="AY29" s="73">
        <v>0</v>
      </c>
      <c r="AZ29" s="73">
        <v>0</v>
      </c>
      <c r="BA29" s="121">
        <v>0</v>
      </c>
      <c r="BB29" s="126">
        <f t="shared" si="0"/>
        <v>17.093999999999998</v>
      </c>
      <c r="BD29" t="e">
        <f>VLOOKUP('Seznam OM'!C32,List1!$T$5:$AG$145,14,FALSE)</f>
        <v>#N/A</v>
      </c>
    </row>
    <row r="30" spans="1:56" x14ac:dyDescent="0.3">
      <c r="A30" s="74" t="s">
        <v>92</v>
      </c>
      <c r="B30" s="85" t="s">
        <v>93</v>
      </c>
      <c r="C30" s="80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9">
        <f>'Seznam OM'!H33</f>
        <v>0</v>
      </c>
      <c r="P30" s="80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9">
        <f>'Seznam OM'!I33</f>
        <v>0</v>
      </c>
      <c r="AC30" s="80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117">
        <f>'Seznam OM'!J33</f>
        <v>0</v>
      </c>
      <c r="AP30" s="80">
        <v>0.70199999999999996</v>
      </c>
      <c r="AQ30" s="73">
        <v>0</v>
      </c>
      <c r="AR30" s="73">
        <v>0</v>
      </c>
      <c r="AS30" s="73">
        <v>0</v>
      </c>
      <c r="AT30" s="73">
        <v>0</v>
      </c>
      <c r="AU30" s="73">
        <v>0</v>
      </c>
      <c r="AV30" s="73">
        <v>0</v>
      </c>
      <c r="AW30" s="73">
        <v>0</v>
      </c>
      <c r="AX30" s="73">
        <v>0</v>
      </c>
      <c r="AY30" s="73">
        <v>0</v>
      </c>
      <c r="AZ30" s="73">
        <v>0</v>
      </c>
      <c r="BA30" s="121">
        <v>0</v>
      </c>
      <c r="BB30" s="126">
        <f t="shared" si="0"/>
        <v>0.70199999999999996</v>
      </c>
      <c r="BD30" t="e">
        <f>VLOOKUP('Seznam OM'!C33,List1!$T$5:$AG$145,14,FALSE)</f>
        <v>#N/A</v>
      </c>
    </row>
    <row r="31" spans="1:56" x14ac:dyDescent="0.3">
      <c r="A31" s="74" t="s">
        <v>95</v>
      </c>
      <c r="B31" s="85" t="s">
        <v>96</v>
      </c>
      <c r="C31" s="80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9">
        <f>'Seznam OM'!H34</f>
        <v>16.292000000000002</v>
      </c>
      <c r="P31" s="80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9">
        <f>'Seznam OM'!I34</f>
        <v>0</v>
      </c>
      <c r="AC31" s="80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117">
        <f>'Seznam OM'!J34</f>
        <v>0</v>
      </c>
      <c r="AP31" s="80">
        <v>1.762</v>
      </c>
      <c r="AQ31" s="73">
        <v>1.2210000000000001</v>
      </c>
      <c r="AR31" s="73">
        <v>0.747</v>
      </c>
      <c r="AS31" s="73">
        <v>1.095</v>
      </c>
      <c r="AT31" s="73">
        <v>1.1919999999999999</v>
      </c>
      <c r="AU31" s="73">
        <v>1.034</v>
      </c>
      <c r="AV31" s="73">
        <v>0.88300000000000001</v>
      </c>
      <c r="AW31" s="73">
        <v>0.60899999999999999</v>
      </c>
      <c r="AX31" s="73">
        <v>1.1220000000000001</v>
      </c>
      <c r="AY31" s="73">
        <v>1.448</v>
      </c>
      <c r="AZ31" s="73">
        <v>0</v>
      </c>
      <c r="BA31" s="121">
        <v>0</v>
      </c>
      <c r="BB31" s="126">
        <f t="shared" si="0"/>
        <v>11.113</v>
      </c>
      <c r="BD31" t="e">
        <f>VLOOKUP('Seznam OM'!C34,List1!$T$5:$AG$145,14,FALSE)</f>
        <v>#N/A</v>
      </c>
    </row>
    <row r="32" spans="1:56" x14ac:dyDescent="0.3">
      <c r="A32" s="90" t="s">
        <v>53</v>
      </c>
      <c r="B32" s="85" t="s">
        <v>98</v>
      </c>
      <c r="C32" s="80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9">
        <f>'Seznam OM'!H35</f>
        <v>13.4</v>
      </c>
      <c r="P32" s="80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9">
        <f>'Seznam OM'!I35</f>
        <v>0</v>
      </c>
      <c r="AC32" s="80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117">
        <f>'Seznam OM'!J35</f>
        <v>0</v>
      </c>
      <c r="AP32" s="80">
        <v>1.7009999999999998</v>
      </c>
      <c r="AQ32" s="73">
        <v>1.2349999999999999</v>
      </c>
      <c r="AR32" s="73">
        <v>1.306</v>
      </c>
      <c r="AS32" s="73">
        <v>1.0820000000000001</v>
      </c>
      <c r="AT32" s="73">
        <v>1.0620000000000001</v>
      </c>
      <c r="AU32" s="73">
        <v>1.002</v>
      </c>
      <c r="AV32" s="73">
        <v>0.60699999999999998</v>
      </c>
      <c r="AW32" s="73">
        <v>0.61799999999999999</v>
      </c>
      <c r="AX32" s="73">
        <v>0.60699999999999998</v>
      </c>
      <c r="AY32" s="73">
        <v>0</v>
      </c>
      <c r="AZ32" s="73">
        <v>0</v>
      </c>
      <c r="BA32" s="121">
        <v>0</v>
      </c>
      <c r="BB32" s="126">
        <f t="shared" si="0"/>
        <v>9.2199999999999989</v>
      </c>
    </row>
    <row r="33" spans="1:56" x14ac:dyDescent="0.3">
      <c r="A33" s="74" t="s">
        <v>65</v>
      </c>
      <c r="B33" s="85" t="s">
        <v>100</v>
      </c>
      <c r="C33" s="80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9">
        <f>'Seznam OM'!H36</f>
        <v>0</v>
      </c>
      <c r="P33" s="80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9">
        <f>'Seznam OM'!I36</f>
        <v>0</v>
      </c>
      <c r="AC33" s="80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117">
        <f>'Seznam OM'!J36</f>
        <v>0</v>
      </c>
      <c r="AP33" s="80">
        <v>0.74399999999999999</v>
      </c>
      <c r="AQ33" s="73">
        <v>0.67400000000000004</v>
      </c>
      <c r="AR33" s="73">
        <v>0.71499999999999997</v>
      </c>
      <c r="AS33" s="73">
        <v>0.79300000000000004</v>
      </c>
      <c r="AT33" s="73">
        <v>0.876</v>
      </c>
      <c r="AU33" s="73">
        <v>0.94199999999999995</v>
      </c>
      <c r="AV33" s="73">
        <v>0.70099999999999996</v>
      </c>
      <c r="AW33" s="73">
        <v>0.71199999999999997</v>
      </c>
      <c r="AX33" s="73">
        <v>0.7</v>
      </c>
      <c r="AY33" s="73">
        <v>0</v>
      </c>
      <c r="AZ33" s="73">
        <v>0</v>
      </c>
      <c r="BA33" s="121">
        <v>0</v>
      </c>
      <c r="BB33" s="126">
        <f t="shared" si="0"/>
        <v>6.8569999999999993</v>
      </c>
      <c r="BD33" t="e">
        <f>VLOOKUP('Seznam OM'!C36,List1!$T$5:$AG$145,14,FALSE)</f>
        <v>#N/A</v>
      </c>
    </row>
    <row r="34" spans="1:56" x14ac:dyDescent="0.3">
      <c r="A34" s="74" t="s">
        <v>102</v>
      </c>
      <c r="B34" s="85" t="s">
        <v>103</v>
      </c>
      <c r="C34" s="80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9">
        <f>'Seznam OM'!H37</f>
        <v>29.817</v>
      </c>
      <c r="P34" s="80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9">
        <f>'Seznam OM'!I37</f>
        <v>0</v>
      </c>
      <c r="AC34" s="80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117">
        <f>'Seznam OM'!J37</f>
        <v>0</v>
      </c>
      <c r="AP34" s="80">
        <v>2.6550000000000002</v>
      </c>
      <c r="AQ34" s="73">
        <v>2.4660000000000002</v>
      </c>
      <c r="AR34" s="73">
        <v>2.6559999999999997</v>
      </c>
      <c r="AS34" s="73">
        <v>2.4009999999999998</v>
      </c>
      <c r="AT34" s="73">
        <v>2.1339999999999999</v>
      </c>
      <c r="AU34" s="73">
        <v>1.69</v>
      </c>
      <c r="AV34" s="73">
        <v>1.6379999999999999</v>
      </c>
      <c r="AW34" s="73">
        <v>1.704</v>
      </c>
      <c r="AX34" s="73">
        <v>1.9449999999999998</v>
      </c>
      <c r="AY34" s="73">
        <v>2.2930000000000001</v>
      </c>
      <c r="AZ34" s="73">
        <v>0</v>
      </c>
      <c r="BA34" s="121">
        <v>0</v>
      </c>
      <c r="BB34" s="126">
        <f t="shared" si="0"/>
        <v>21.582000000000001</v>
      </c>
    </row>
    <row r="35" spans="1:56" x14ac:dyDescent="0.3">
      <c r="A35" s="74" t="s">
        <v>105</v>
      </c>
      <c r="B35" s="85" t="s">
        <v>106</v>
      </c>
      <c r="C35" s="80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9">
        <f>'Seznam OM'!H38</f>
        <v>11.382999999999999</v>
      </c>
      <c r="P35" s="80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9">
        <f>'Seznam OM'!I38</f>
        <v>13.673000000000002</v>
      </c>
      <c r="AC35" s="80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117">
        <f>'Seznam OM'!J38</f>
        <v>0</v>
      </c>
      <c r="AP35" s="80">
        <v>1.3160000000000001</v>
      </c>
      <c r="AQ35" s="73">
        <v>1.1910000000000001</v>
      </c>
      <c r="AR35" s="73">
        <v>0.55200000000000005</v>
      </c>
      <c r="AS35" s="73">
        <v>0</v>
      </c>
      <c r="AT35" s="73">
        <v>0</v>
      </c>
      <c r="AU35" s="73">
        <v>0</v>
      </c>
      <c r="AV35" s="73">
        <v>0</v>
      </c>
      <c r="AW35" s="73">
        <v>0</v>
      </c>
      <c r="AX35" s="73">
        <v>0</v>
      </c>
      <c r="AY35" s="73">
        <v>0</v>
      </c>
      <c r="AZ35" s="73">
        <v>0</v>
      </c>
      <c r="BA35" s="121">
        <v>0</v>
      </c>
      <c r="BB35" s="126">
        <f t="shared" si="0"/>
        <v>3.0590000000000002</v>
      </c>
    </row>
    <row r="36" spans="1:56" x14ac:dyDescent="0.3">
      <c r="A36" s="74" t="s">
        <v>108</v>
      </c>
      <c r="B36" s="85" t="s">
        <v>109</v>
      </c>
      <c r="C36" s="80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9">
        <f>'Seznam OM'!H39</f>
        <v>0</v>
      </c>
      <c r="P36" s="80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9">
        <f>'Seznam OM'!I39</f>
        <v>0</v>
      </c>
      <c r="AC36" s="80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117">
        <f>'Seznam OM'!J39</f>
        <v>0</v>
      </c>
      <c r="AP36" s="80">
        <v>0.96899999999999997</v>
      </c>
      <c r="AQ36" s="73">
        <v>0.86499999999999999</v>
      </c>
      <c r="AR36" s="73">
        <v>0.89900000000000002</v>
      </c>
      <c r="AS36" s="73">
        <v>0.76500000000000001</v>
      </c>
      <c r="AT36" s="73">
        <v>0.45400000000000001</v>
      </c>
      <c r="AU36" s="73">
        <v>0</v>
      </c>
      <c r="AV36" s="73">
        <v>0</v>
      </c>
      <c r="AW36" s="73">
        <v>0</v>
      </c>
      <c r="AX36" s="73">
        <v>0</v>
      </c>
      <c r="AY36" s="73">
        <v>0</v>
      </c>
      <c r="AZ36" s="73">
        <v>0</v>
      </c>
      <c r="BA36" s="121">
        <v>0</v>
      </c>
      <c r="BB36" s="126">
        <f t="shared" si="0"/>
        <v>3.9520000000000004</v>
      </c>
      <c r="BD36">
        <f>VLOOKUP('Seznam OM'!C39,List1!$T$5:$AG$145,14,FALSE)</f>
        <v>10.9</v>
      </c>
    </row>
    <row r="37" spans="1:56" x14ac:dyDescent="0.3">
      <c r="A37" s="74" t="s">
        <v>111</v>
      </c>
      <c r="B37" s="85" t="s">
        <v>112</v>
      </c>
      <c r="C37" s="80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9">
        <f>'Seznam OM'!H40</f>
        <v>0</v>
      </c>
      <c r="P37" s="80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9">
        <f>'Seznam OM'!I40</f>
        <v>0</v>
      </c>
      <c r="AC37" s="80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117">
        <f>'Seznam OM'!J40</f>
        <v>0</v>
      </c>
      <c r="AP37" s="80">
        <v>1.37</v>
      </c>
      <c r="AQ37" s="73">
        <v>0.23500000000000001</v>
      </c>
      <c r="AR37" s="73">
        <v>0</v>
      </c>
      <c r="AS37" s="73">
        <v>0</v>
      </c>
      <c r="AT37" s="73">
        <v>0</v>
      </c>
      <c r="AU37" s="73">
        <v>0</v>
      </c>
      <c r="AV37" s="73">
        <v>0</v>
      </c>
      <c r="AW37" s="73">
        <v>0</v>
      </c>
      <c r="AX37" s="73">
        <v>0</v>
      </c>
      <c r="AY37" s="73">
        <v>0</v>
      </c>
      <c r="AZ37" s="73">
        <v>0</v>
      </c>
      <c r="BA37" s="121">
        <v>0</v>
      </c>
      <c r="BB37" s="126">
        <f t="shared" si="0"/>
        <v>1.6050000000000002</v>
      </c>
    </row>
    <row r="38" spans="1:56" x14ac:dyDescent="0.3">
      <c r="A38" s="74" t="s">
        <v>108</v>
      </c>
      <c r="B38" s="85" t="s">
        <v>114</v>
      </c>
      <c r="C38" s="80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9">
        <f>'Seznam OM'!H41</f>
        <v>0</v>
      </c>
      <c r="P38" s="80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9">
        <f>'Seznam OM'!I41</f>
        <v>0</v>
      </c>
      <c r="AC38" s="80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117">
        <f>'Seznam OM'!J41</f>
        <v>0</v>
      </c>
      <c r="AP38" s="80">
        <v>0</v>
      </c>
      <c r="AQ38" s="73">
        <v>0</v>
      </c>
      <c r="AR38" s="73">
        <v>0</v>
      </c>
      <c r="AS38" s="73">
        <v>0</v>
      </c>
      <c r="AT38" s="73">
        <v>0</v>
      </c>
      <c r="AU38" s="73">
        <v>0</v>
      </c>
      <c r="AV38" s="73">
        <v>0</v>
      </c>
      <c r="AW38" s="73">
        <v>0</v>
      </c>
      <c r="AX38" s="73">
        <v>0</v>
      </c>
      <c r="AY38" s="73">
        <v>0</v>
      </c>
      <c r="AZ38" s="73">
        <v>0</v>
      </c>
      <c r="BA38" s="121">
        <v>0</v>
      </c>
      <c r="BB38" s="126">
        <f t="shared" si="0"/>
        <v>0</v>
      </c>
      <c r="BD38">
        <f>VLOOKUP('Seznam OM'!C41,List1!$T$5:$AG$145,14,FALSE)</f>
        <v>8.6893950000000011</v>
      </c>
    </row>
    <row r="39" spans="1:56" x14ac:dyDescent="0.3">
      <c r="A39" s="74" t="s">
        <v>108</v>
      </c>
      <c r="B39" s="85" t="s">
        <v>116</v>
      </c>
      <c r="C39" s="80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9">
        <f>'Seznam OM'!H42</f>
        <v>0</v>
      </c>
      <c r="P39" s="80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9">
        <f>'Seznam OM'!I42</f>
        <v>0</v>
      </c>
      <c r="AC39" s="80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117">
        <f>'Seznam OM'!J42</f>
        <v>0</v>
      </c>
      <c r="AP39" s="80">
        <v>0.89400000000000002</v>
      </c>
      <c r="AQ39" s="73">
        <v>0.88900000000000001</v>
      </c>
      <c r="AR39" s="73">
        <v>1.0740000000000001</v>
      </c>
      <c r="AS39" s="73">
        <v>0.95399999999999996</v>
      </c>
      <c r="AT39" s="73">
        <v>0.92100000000000004</v>
      </c>
      <c r="AU39" s="73">
        <v>1.3240000000000001</v>
      </c>
      <c r="AV39" s="73">
        <v>1.54</v>
      </c>
      <c r="AW39" s="73">
        <v>1.0980000000000001</v>
      </c>
      <c r="AX39" s="73">
        <v>1.0389999999999999</v>
      </c>
      <c r="AY39" s="73">
        <v>1.087</v>
      </c>
      <c r="AZ39" s="73">
        <v>0</v>
      </c>
      <c r="BA39" s="121">
        <v>0</v>
      </c>
      <c r="BB39" s="126">
        <f t="shared" si="0"/>
        <v>10.82</v>
      </c>
      <c r="BD39">
        <f>VLOOKUP('Seznam OM'!C42,List1!$T$5:$AG$145,14,FALSE)</f>
        <v>7.9601480000000002</v>
      </c>
    </row>
    <row r="40" spans="1:56" x14ac:dyDescent="0.3">
      <c r="A40" s="74" t="s">
        <v>68</v>
      </c>
      <c r="B40" s="85" t="s">
        <v>118</v>
      </c>
      <c r="C40" s="80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9">
        <f>'Seznam OM'!H43</f>
        <v>0</v>
      </c>
      <c r="P40" s="80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9">
        <f>'Seznam OM'!I43</f>
        <v>8.6039999999999992</v>
      </c>
      <c r="AC40" s="80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117">
        <f>'Seznam OM'!J43</f>
        <v>8.2650000000000006</v>
      </c>
      <c r="AP40" s="80">
        <v>0.91100000000000003</v>
      </c>
      <c r="AQ40" s="73">
        <v>0.36899999999999999</v>
      </c>
      <c r="AR40" s="73">
        <v>0</v>
      </c>
      <c r="AS40" s="73">
        <v>0</v>
      </c>
      <c r="AT40" s="73">
        <v>0</v>
      </c>
      <c r="AU40" s="73">
        <v>0</v>
      </c>
      <c r="AV40" s="73">
        <v>0</v>
      </c>
      <c r="AW40" s="73">
        <v>0</v>
      </c>
      <c r="AX40" s="73">
        <v>0</v>
      </c>
      <c r="AY40" s="73">
        <v>0</v>
      </c>
      <c r="AZ40" s="73">
        <v>0</v>
      </c>
      <c r="BA40" s="121">
        <v>0</v>
      </c>
      <c r="BB40" s="126">
        <f t="shared" si="0"/>
        <v>1.28</v>
      </c>
      <c r="BD40" t="e">
        <f>VLOOKUP('Seznam OM'!C43,List1!$T$5:$AG$145,14,FALSE)</f>
        <v>#N/A</v>
      </c>
    </row>
    <row r="41" spans="1:56" x14ac:dyDescent="0.3">
      <c r="A41" s="74" t="s">
        <v>120</v>
      </c>
      <c r="B41" s="85" t="s">
        <v>121</v>
      </c>
      <c r="C41" s="80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9">
        <f>'Seznam OM'!H44</f>
        <v>0</v>
      </c>
      <c r="P41" s="80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9">
        <f>'Seznam OM'!I44</f>
        <v>0</v>
      </c>
      <c r="AC41" s="80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117">
        <f>'Seznam OM'!J44</f>
        <v>0</v>
      </c>
      <c r="AP41" s="80">
        <v>2.8029999999999999</v>
      </c>
      <c r="AQ41" s="73">
        <v>2.5369999999999999</v>
      </c>
      <c r="AR41" s="73">
        <v>2.6930000000000001</v>
      </c>
      <c r="AS41" s="73">
        <v>1.0209999999999999</v>
      </c>
      <c r="AT41" s="73">
        <v>0</v>
      </c>
      <c r="AU41" s="73">
        <v>0</v>
      </c>
      <c r="AV41" s="73">
        <v>0</v>
      </c>
      <c r="AW41" s="73">
        <v>0</v>
      </c>
      <c r="AX41" s="73">
        <v>0</v>
      </c>
      <c r="AY41" s="73">
        <v>0</v>
      </c>
      <c r="AZ41" s="73">
        <v>0</v>
      </c>
      <c r="BA41" s="121">
        <v>0</v>
      </c>
      <c r="BB41" s="126">
        <f t="shared" si="0"/>
        <v>9.0539999999999985</v>
      </c>
      <c r="BD41">
        <f>VLOOKUP('Seznam OM'!C44,List1!$T$5:$AG$145,14,FALSE)</f>
        <v>7.1051039999999999</v>
      </c>
    </row>
    <row r="42" spans="1:56" x14ac:dyDescent="0.3">
      <c r="A42" s="74" t="s">
        <v>108</v>
      </c>
      <c r="B42" s="85" t="s">
        <v>123</v>
      </c>
      <c r="C42" s="80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9">
        <f>'Seznam OM'!H45</f>
        <v>0</v>
      </c>
      <c r="P42" s="80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9">
        <f>'Seznam OM'!I45</f>
        <v>0</v>
      </c>
      <c r="AC42" s="80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117">
        <f>'Seznam OM'!J45</f>
        <v>0</v>
      </c>
      <c r="AP42" s="80">
        <v>0.52400000000000002</v>
      </c>
      <c r="AQ42" s="73">
        <v>0.46700000000000003</v>
      </c>
      <c r="AR42" s="73">
        <v>0.48599999999999999</v>
      </c>
      <c r="AS42" s="73">
        <v>0.16600000000000001</v>
      </c>
      <c r="AT42" s="73">
        <v>0</v>
      </c>
      <c r="AU42" s="73">
        <v>0</v>
      </c>
      <c r="AV42" s="73">
        <v>0</v>
      </c>
      <c r="AW42" s="73">
        <v>0</v>
      </c>
      <c r="AX42" s="73">
        <v>0</v>
      </c>
      <c r="AY42" s="73">
        <v>0</v>
      </c>
      <c r="AZ42" s="73">
        <v>0</v>
      </c>
      <c r="BA42" s="121">
        <v>0</v>
      </c>
      <c r="BB42" s="126">
        <f t="shared" si="0"/>
        <v>1.643</v>
      </c>
      <c r="BD42">
        <f>VLOOKUP('Seznam OM'!C45,List1!$T$5:$AG$145,14,FALSE)</f>
        <v>6.8583030000000003</v>
      </c>
    </row>
    <row r="43" spans="1:56" x14ac:dyDescent="0.3">
      <c r="A43" s="74" t="s">
        <v>108</v>
      </c>
      <c r="B43" s="85" t="s">
        <v>125</v>
      </c>
      <c r="C43" s="80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9">
        <f>'Seznam OM'!H46</f>
        <v>0</v>
      </c>
      <c r="P43" s="80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9">
        <f>'Seznam OM'!I46</f>
        <v>0</v>
      </c>
      <c r="AC43" s="80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117">
        <f>'Seznam OM'!J46</f>
        <v>0</v>
      </c>
      <c r="AP43" s="80">
        <v>0.74</v>
      </c>
      <c r="AQ43" s="73">
        <v>0.3</v>
      </c>
      <c r="AR43" s="73">
        <v>0</v>
      </c>
      <c r="AS43" s="73">
        <v>0</v>
      </c>
      <c r="AT43" s="73">
        <v>0</v>
      </c>
      <c r="AU43" s="73">
        <v>0</v>
      </c>
      <c r="AV43" s="73">
        <v>0</v>
      </c>
      <c r="AW43" s="73">
        <v>0</v>
      </c>
      <c r="AX43" s="73">
        <v>0</v>
      </c>
      <c r="AY43" s="73">
        <v>0</v>
      </c>
      <c r="AZ43" s="73">
        <v>0</v>
      </c>
      <c r="BA43" s="121">
        <v>0</v>
      </c>
      <c r="BB43" s="126">
        <f t="shared" si="0"/>
        <v>1.04</v>
      </c>
      <c r="BD43">
        <f>VLOOKUP('Seznam OM'!C46,List1!$T$5:$AG$145,14,FALSE)</f>
        <v>6.5</v>
      </c>
    </row>
    <row r="44" spans="1:56" x14ac:dyDescent="0.3">
      <c r="A44" s="74" t="s">
        <v>108</v>
      </c>
      <c r="B44" s="85" t="s">
        <v>127</v>
      </c>
      <c r="C44" s="80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9">
        <f>'Seznam OM'!H47</f>
        <v>0</v>
      </c>
      <c r="P44" s="80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9">
        <f>'Seznam OM'!I47</f>
        <v>0</v>
      </c>
      <c r="AC44" s="80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117">
        <f>'Seznam OM'!J47</f>
        <v>0</v>
      </c>
      <c r="AP44" s="80">
        <v>0.63900000000000001</v>
      </c>
      <c r="AQ44" s="73">
        <v>0.57899999999999996</v>
      </c>
      <c r="AR44" s="73">
        <v>0.61399999999999999</v>
      </c>
      <c r="AS44" s="73">
        <v>0.34499999999999997</v>
      </c>
      <c r="AT44" s="73">
        <v>0</v>
      </c>
      <c r="AU44" s="73">
        <v>0</v>
      </c>
      <c r="AV44" s="73">
        <v>0</v>
      </c>
      <c r="AW44" s="73">
        <v>0</v>
      </c>
      <c r="AX44" s="73">
        <v>0</v>
      </c>
      <c r="AY44" s="73">
        <v>0</v>
      </c>
      <c r="AZ44" s="73">
        <v>0</v>
      </c>
      <c r="BA44" s="121">
        <v>0</v>
      </c>
      <c r="BB44" s="126">
        <f t="shared" si="0"/>
        <v>2.1769999999999996</v>
      </c>
      <c r="BD44">
        <f>VLOOKUP('Seznam OM'!C47,List1!$T$5:$AG$145,14,FALSE)</f>
        <v>6.3348380000000004</v>
      </c>
    </row>
    <row r="45" spans="1:56" x14ac:dyDescent="0.3">
      <c r="A45" s="74" t="s">
        <v>129</v>
      </c>
      <c r="B45" s="85" t="s">
        <v>130</v>
      </c>
      <c r="C45" s="80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9">
        <f>'Seznam OM'!H48</f>
        <v>5.726</v>
      </c>
      <c r="P45" s="80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9">
        <f>'Seznam OM'!I48</f>
        <v>6.3849999999999998</v>
      </c>
      <c r="AC45" s="80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117">
        <f>'Seznam OM'!J48</f>
        <v>5.45</v>
      </c>
      <c r="AP45" s="80">
        <v>0.47799999999999998</v>
      </c>
      <c r="AQ45" s="73">
        <v>0.433</v>
      </c>
      <c r="AR45" s="73">
        <v>0.45900000000000002</v>
      </c>
      <c r="AS45" s="73">
        <v>0.25700000000000001</v>
      </c>
      <c r="AT45" s="73">
        <v>0</v>
      </c>
      <c r="AU45" s="73">
        <v>0</v>
      </c>
      <c r="AV45" s="73">
        <v>0</v>
      </c>
      <c r="AW45" s="73">
        <v>0</v>
      </c>
      <c r="AX45" s="73">
        <v>0</v>
      </c>
      <c r="AY45" s="73">
        <v>0</v>
      </c>
      <c r="AZ45" s="73">
        <v>0</v>
      </c>
      <c r="BA45" s="121">
        <v>0</v>
      </c>
      <c r="BB45" s="126">
        <f t="shared" si="0"/>
        <v>1.6270000000000002</v>
      </c>
      <c r="BD45" t="e">
        <f>VLOOKUP('Seznam OM'!C48,List1!$T$5:$AG$145,14,FALSE)</f>
        <v>#N/A</v>
      </c>
    </row>
    <row r="46" spans="1:56" x14ac:dyDescent="0.3">
      <c r="A46" s="74" t="s">
        <v>132</v>
      </c>
      <c r="B46" s="85" t="s">
        <v>133</v>
      </c>
      <c r="C46" s="80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9">
        <f>'Seznam OM'!H49</f>
        <v>0</v>
      </c>
      <c r="P46" s="80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9">
        <f>'Seznam OM'!I49</f>
        <v>0</v>
      </c>
      <c r="AC46" s="80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117">
        <f>'Seznam OM'!J49</f>
        <v>0</v>
      </c>
      <c r="AP46" s="80">
        <v>0.30399999999999999</v>
      </c>
      <c r="AQ46" s="73">
        <v>0.33899999999999997</v>
      </c>
      <c r="AR46" s="73">
        <v>0.38800000000000001</v>
      </c>
      <c r="AS46" s="73">
        <v>0.29699999999999999</v>
      </c>
      <c r="AT46" s="73">
        <v>0.42599999999999999</v>
      </c>
      <c r="AU46" s="73">
        <v>0.33500000000000002</v>
      </c>
      <c r="AV46" s="73">
        <v>0.314</v>
      </c>
      <c r="AW46" s="73">
        <v>0.23300000000000001</v>
      </c>
      <c r="AX46" s="73">
        <v>0.42899999999999999</v>
      </c>
      <c r="AY46" s="73">
        <v>0.51100000000000001</v>
      </c>
      <c r="AZ46" s="73">
        <v>0</v>
      </c>
      <c r="BA46" s="121">
        <v>0</v>
      </c>
      <c r="BB46" s="126">
        <f t="shared" si="0"/>
        <v>3.5760000000000001</v>
      </c>
      <c r="BD46" t="e">
        <f>VLOOKUP('Seznam OM'!C49,List1!$T$5:$AG$145,14,FALSE)</f>
        <v>#N/A</v>
      </c>
    </row>
    <row r="47" spans="1:56" x14ac:dyDescent="0.3">
      <c r="A47" s="74" t="s">
        <v>108</v>
      </c>
      <c r="B47" s="85" t="s">
        <v>135</v>
      </c>
      <c r="C47" s="80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9">
        <f>'Seznam OM'!H50</f>
        <v>0</v>
      </c>
      <c r="P47" s="80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9">
        <f>'Seznam OM'!I50</f>
        <v>0</v>
      </c>
      <c r="AC47" s="80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117">
        <f>'Seznam OM'!J50</f>
        <v>0</v>
      </c>
      <c r="AP47" s="80">
        <v>0.216</v>
      </c>
      <c r="AQ47" s="73">
        <v>0</v>
      </c>
      <c r="AR47" s="73">
        <v>0</v>
      </c>
      <c r="AS47" s="73">
        <v>0</v>
      </c>
      <c r="AT47" s="73">
        <v>0</v>
      </c>
      <c r="AU47" s="73">
        <v>0</v>
      </c>
      <c r="AV47" s="73">
        <v>0</v>
      </c>
      <c r="AW47" s="73">
        <v>0</v>
      </c>
      <c r="AX47" s="73">
        <v>0</v>
      </c>
      <c r="AY47" s="73">
        <v>0</v>
      </c>
      <c r="AZ47" s="73">
        <v>0</v>
      </c>
      <c r="BA47" s="121">
        <v>0</v>
      </c>
      <c r="BB47" s="126">
        <f t="shared" si="0"/>
        <v>0.216</v>
      </c>
      <c r="BD47">
        <f>VLOOKUP('Seznam OM'!C50,List1!$T$5:$AG$145,14,FALSE)</f>
        <v>5.2595369999999999</v>
      </c>
    </row>
    <row r="48" spans="1:56" x14ac:dyDescent="0.3">
      <c r="A48" s="74" t="s">
        <v>82</v>
      </c>
      <c r="B48" s="85" t="s">
        <v>137</v>
      </c>
      <c r="C48" s="80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9">
        <f>'Seznam OM'!H51</f>
        <v>4.5359999999999996</v>
      </c>
      <c r="P48" s="80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9">
        <f>'Seznam OM'!I51</f>
        <v>0</v>
      </c>
      <c r="AC48" s="80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117">
        <f>'Seznam OM'!J51</f>
        <v>0</v>
      </c>
      <c r="AP48" s="80">
        <v>0.14099999999999999</v>
      </c>
      <c r="AQ48" s="73">
        <v>0.10199999999999999</v>
      </c>
      <c r="AR48" s="73">
        <v>0.105</v>
      </c>
      <c r="AS48" s="73">
        <v>0.122</v>
      </c>
      <c r="AT48" s="73">
        <v>0.24199999999999999</v>
      </c>
      <c r="AU48" s="73">
        <v>0.28399999999999997</v>
      </c>
      <c r="AV48" s="73">
        <v>8.1000000000000003E-2</v>
      </c>
      <c r="AW48" s="73">
        <v>9.7000000000000003E-2</v>
      </c>
      <c r="AX48" s="73">
        <v>0.25700000000000001</v>
      </c>
      <c r="AY48" s="73">
        <v>0.28199999999999997</v>
      </c>
      <c r="AZ48" s="73">
        <v>0</v>
      </c>
      <c r="BA48" s="121">
        <v>0</v>
      </c>
      <c r="BB48" s="126">
        <f t="shared" si="0"/>
        <v>1.7130000000000001</v>
      </c>
      <c r="BD48" t="e">
        <f>VLOOKUP('Seznam OM'!C51,List1!$T$5:$AG$145,14,FALSE)</f>
        <v>#N/A</v>
      </c>
    </row>
    <row r="49" spans="1:56" x14ac:dyDescent="0.3">
      <c r="A49" s="74" t="s">
        <v>108</v>
      </c>
      <c r="B49" s="85" t="s">
        <v>139</v>
      </c>
      <c r="C49" s="80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9">
        <f>'Seznam OM'!H52</f>
        <v>0</v>
      </c>
      <c r="P49" s="80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9">
        <f>'Seznam OM'!I52</f>
        <v>0</v>
      </c>
      <c r="AC49" s="80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117">
        <f>'Seznam OM'!J52</f>
        <v>0</v>
      </c>
      <c r="AP49" s="80">
        <v>0</v>
      </c>
      <c r="AQ49" s="73">
        <v>0</v>
      </c>
      <c r="AR49" s="73">
        <v>0</v>
      </c>
      <c r="AS49" s="73">
        <v>0</v>
      </c>
      <c r="AT49" s="73">
        <v>0</v>
      </c>
      <c r="AU49" s="73">
        <v>0</v>
      </c>
      <c r="AV49" s="73">
        <v>0</v>
      </c>
      <c r="AW49" s="73">
        <v>0</v>
      </c>
      <c r="AX49" s="73">
        <v>0</v>
      </c>
      <c r="AY49" s="73">
        <v>0</v>
      </c>
      <c r="AZ49" s="73">
        <v>0</v>
      </c>
      <c r="BA49" s="121">
        <v>0</v>
      </c>
      <c r="BB49" s="126">
        <f t="shared" si="0"/>
        <v>0</v>
      </c>
      <c r="BD49">
        <f>VLOOKUP('Seznam OM'!C52,List1!$T$5:$AG$145,14,FALSE)</f>
        <v>3.7289880000000002</v>
      </c>
    </row>
    <row r="50" spans="1:56" x14ac:dyDescent="0.3">
      <c r="A50" s="74" t="s">
        <v>108</v>
      </c>
      <c r="B50" s="85" t="s">
        <v>141</v>
      </c>
      <c r="C50" s="80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9">
        <f>'Seznam OM'!H53</f>
        <v>0</v>
      </c>
      <c r="P50" s="80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9">
        <f>'Seznam OM'!I53</f>
        <v>0</v>
      </c>
      <c r="AC50" s="80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117">
        <f>'Seznam OM'!J53</f>
        <v>0</v>
      </c>
      <c r="AP50" s="80">
        <v>0</v>
      </c>
      <c r="AQ50" s="73">
        <v>0</v>
      </c>
      <c r="AR50" s="73">
        <v>0</v>
      </c>
      <c r="AS50" s="73">
        <v>0</v>
      </c>
      <c r="AT50" s="73">
        <v>0</v>
      </c>
      <c r="AU50" s="73">
        <v>0</v>
      </c>
      <c r="AV50" s="73">
        <v>0</v>
      </c>
      <c r="AW50" s="73">
        <v>0</v>
      </c>
      <c r="AX50" s="73">
        <v>0</v>
      </c>
      <c r="AY50" s="73">
        <v>0</v>
      </c>
      <c r="AZ50" s="73">
        <v>0</v>
      </c>
      <c r="BA50" s="121">
        <v>0</v>
      </c>
      <c r="BB50" s="126">
        <f t="shared" si="0"/>
        <v>0</v>
      </c>
      <c r="BD50">
        <f>VLOOKUP('Seznam OM'!C53,List1!$T$5:$AG$145,14,FALSE)</f>
        <v>3.6989890000000001</v>
      </c>
    </row>
    <row r="51" spans="1:56" x14ac:dyDescent="0.3">
      <c r="A51" s="74" t="s">
        <v>108</v>
      </c>
      <c r="B51" s="85" t="s">
        <v>143</v>
      </c>
      <c r="C51" s="80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9">
        <f>'Seznam OM'!H54</f>
        <v>0</v>
      </c>
      <c r="P51" s="80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9">
        <f>'Seznam OM'!I54</f>
        <v>0</v>
      </c>
      <c r="AC51" s="80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117">
        <f>'Seznam OM'!J54</f>
        <v>0</v>
      </c>
      <c r="AP51" s="80">
        <v>5.0000000000000001E-3</v>
      </c>
      <c r="AQ51" s="73">
        <v>5.0000000000000001E-3</v>
      </c>
      <c r="AR51" s="73">
        <v>0</v>
      </c>
      <c r="AS51" s="73">
        <v>0</v>
      </c>
      <c r="AT51" s="73">
        <v>0</v>
      </c>
      <c r="AU51" s="73">
        <v>0</v>
      </c>
      <c r="AV51" s="73">
        <v>0</v>
      </c>
      <c r="AW51" s="73">
        <v>0</v>
      </c>
      <c r="AX51" s="73">
        <v>0</v>
      </c>
      <c r="AY51" s="73">
        <v>0</v>
      </c>
      <c r="AZ51" s="73">
        <v>0</v>
      </c>
      <c r="BA51" s="121">
        <v>0</v>
      </c>
      <c r="BB51" s="126">
        <f t="shared" si="0"/>
        <v>0.01</v>
      </c>
      <c r="BD51">
        <f>VLOOKUP('Seznam OM'!C54,List1!$T$5:$AG$145,14,FALSE)</f>
        <v>3.3197750000000004</v>
      </c>
    </row>
    <row r="52" spans="1:56" x14ac:dyDescent="0.3">
      <c r="A52" s="74" t="s">
        <v>108</v>
      </c>
      <c r="B52" s="85" t="s">
        <v>145</v>
      </c>
      <c r="C52" s="80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9">
        <f>'Seznam OM'!H55</f>
        <v>0</v>
      </c>
      <c r="P52" s="80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9">
        <f>'Seznam OM'!I55</f>
        <v>0</v>
      </c>
      <c r="AC52" s="80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117">
        <f>'Seznam OM'!J55</f>
        <v>0</v>
      </c>
      <c r="AP52" s="80">
        <v>0.97799999999999998</v>
      </c>
      <c r="AQ52" s="73">
        <v>0.69399999999999995</v>
      </c>
      <c r="AR52" s="73">
        <v>0</v>
      </c>
      <c r="AS52" s="73">
        <v>0</v>
      </c>
      <c r="AT52" s="73">
        <v>0</v>
      </c>
      <c r="AU52" s="73">
        <v>0</v>
      </c>
      <c r="AV52" s="73">
        <v>0</v>
      </c>
      <c r="AW52" s="73">
        <v>0</v>
      </c>
      <c r="AX52" s="73">
        <v>0</v>
      </c>
      <c r="AY52" s="73">
        <v>0</v>
      </c>
      <c r="AZ52" s="73">
        <v>0</v>
      </c>
      <c r="BA52" s="121">
        <v>0</v>
      </c>
      <c r="BB52" s="126">
        <f t="shared" si="0"/>
        <v>1.6719999999999999</v>
      </c>
      <c r="BD52">
        <f>VLOOKUP('Seznam OM'!C55,List1!$T$5:$AG$145,14,FALSE)</f>
        <v>3.108053</v>
      </c>
    </row>
    <row r="53" spans="1:56" x14ac:dyDescent="0.3">
      <c r="A53" s="74" t="s">
        <v>147</v>
      </c>
      <c r="B53" s="85" t="s">
        <v>148</v>
      </c>
      <c r="C53" s="80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9">
        <f>'Seznam OM'!H56</f>
        <v>3.4239999999999999</v>
      </c>
      <c r="P53" s="80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9">
        <f>'Seznam OM'!I56</f>
        <v>0</v>
      </c>
      <c r="AC53" s="80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117">
        <f>'Seznam OM'!J56</f>
        <v>0</v>
      </c>
      <c r="AP53" s="80">
        <v>0.23499999999999999</v>
      </c>
      <c r="AQ53" s="73">
        <v>0.17599999999999999</v>
      </c>
      <c r="AR53" s="73">
        <v>0</v>
      </c>
      <c r="AS53" s="73">
        <v>0</v>
      </c>
      <c r="AT53" s="73">
        <v>0</v>
      </c>
      <c r="AU53" s="73">
        <v>0</v>
      </c>
      <c r="AV53" s="73">
        <v>0</v>
      </c>
      <c r="AW53" s="73">
        <v>0</v>
      </c>
      <c r="AX53" s="73">
        <v>0</v>
      </c>
      <c r="AY53" s="73">
        <v>0</v>
      </c>
      <c r="AZ53" s="73">
        <v>0</v>
      </c>
      <c r="BA53" s="121">
        <v>0</v>
      </c>
      <c r="BB53" s="126">
        <f t="shared" si="0"/>
        <v>0.41099999999999998</v>
      </c>
      <c r="BD53" t="e">
        <f>VLOOKUP('Seznam OM'!C56,List1!$T$5:$AG$145,14,FALSE)</f>
        <v>#N/A</v>
      </c>
    </row>
    <row r="54" spans="1:56" x14ac:dyDescent="0.3">
      <c r="A54" s="74" t="s">
        <v>108</v>
      </c>
      <c r="B54" s="85" t="s">
        <v>150</v>
      </c>
      <c r="C54" s="80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9">
        <f>'Seznam OM'!H57</f>
        <v>0</v>
      </c>
      <c r="P54" s="80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9">
        <f>'Seznam OM'!I57</f>
        <v>0</v>
      </c>
      <c r="AC54" s="80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117">
        <f>'Seznam OM'!J57</f>
        <v>0</v>
      </c>
      <c r="AP54" s="80">
        <v>0.27400000000000002</v>
      </c>
      <c r="AQ54" s="73">
        <v>0.248</v>
      </c>
      <c r="AR54" s="73">
        <v>0.26300000000000001</v>
      </c>
      <c r="AS54" s="73">
        <v>0.1</v>
      </c>
      <c r="AT54" s="73">
        <v>0</v>
      </c>
      <c r="AU54" s="73">
        <v>0</v>
      </c>
      <c r="AV54" s="73">
        <v>0</v>
      </c>
      <c r="AW54" s="73">
        <v>0</v>
      </c>
      <c r="AX54" s="73">
        <v>0</v>
      </c>
      <c r="AY54" s="73">
        <v>0</v>
      </c>
      <c r="AZ54" s="73">
        <v>0</v>
      </c>
      <c r="BA54" s="121">
        <v>0</v>
      </c>
      <c r="BB54" s="126">
        <f t="shared" si="0"/>
        <v>0.88500000000000001</v>
      </c>
      <c r="BD54">
        <f>VLOOKUP('Seznam OM'!C57,List1!$T$5:$AG$145,14,FALSE)</f>
        <v>1.7704260000000001</v>
      </c>
    </row>
    <row r="55" spans="1:56" x14ac:dyDescent="0.3">
      <c r="A55" s="74" t="s">
        <v>108</v>
      </c>
      <c r="B55" s="85" t="s">
        <v>152</v>
      </c>
      <c r="C55" s="80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9">
        <f>'Seznam OM'!H58</f>
        <v>0</v>
      </c>
      <c r="P55" s="80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9">
        <f>'Seznam OM'!I58</f>
        <v>0</v>
      </c>
      <c r="AC55" s="80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117">
        <f>'Seznam OM'!J58</f>
        <v>0</v>
      </c>
      <c r="AP55" s="80">
        <v>1E-3</v>
      </c>
      <c r="AQ55" s="73">
        <v>1E-3</v>
      </c>
      <c r="AR55" s="73">
        <v>0</v>
      </c>
      <c r="AS55" s="73">
        <v>0</v>
      </c>
      <c r="AT55" s="73">
        <v>0</v>
      </c>
      <c r="AU55" s="73">
        <v>0</v>
      </c>
      <c r="AV55" s="73">
        <v>0</v>
      </c>
      <c r="AW55" s="73">
        <v>0</v>
      </c>
      <c r="AX55" s="73">
        <v>0</v>
      </c>
      <c r="AY55" s="73">
        <v>0</v>
      </c>
      <c r="AZ55" s="73">
        <v>0</v>
      </c>
      <c r="BA55" s="121">
        <v>0</v>
      </c>
      <c r="BB55" s="126">
        <f t="shared" si="0"/>
        <v>2E-3</v>
      </c>
      <c r="BD55">
        <f>VLOOKUP('Seznam OM'!C58,List1!$T$5:$AG$145,14,FALSE)</f>
        <v>1.7296050000000001</v>
      </c>
    </row>
    <row r="56" spans="1:56" x14ac:dyDescent="0.3">
      <c r="A56" s="74" t="s">
        <v>132</v>
      </c>
      <c r="B56" s="85" t="s">
        <v>154</v>
      </c>
      <c r="C56" s="80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9">
        <f>'Seznam OM'!H59</f>
        <v>0</v>
      </c>
      <c r="P56" s="80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9">
        <f>'Seznam OM'!I59</f>
        <v>0</v>
      </c>
      <c r="AC56" s="80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117">
        <f>'Seznam OM'!J59</f>
        <v>0</v>
      </c>
      <c r="AP56" s="80">
        <v>0.49199999999999999</v>
      </c>
      <c r="AQ56" s="73">
        <v>0.44500000000000001</v>
      </c>
      <c r="AR56" s="73">
        <v>0.41499999999999998</v>
      </c>
      <c r="AS56" s="73">
        <v>0.505</v>
      </c>
      <c r="AT56" s="73">
        <v>0.72899999999999998</v>
      </c>
      <c r="AU56" s="73">
        <v>0.751</v>
      </c>
      <c r="AV56" s="73">
        <v>0.621</v>
      </c>
      <c r="AW56" s="73">
        <v>0.496</v>
      </c>
      <c r="AX56" s="73">
        <v>0.82399999999999995</v>
      </c>
      <c r="AY56" s="73">
        <v>0.79800000000000004</v>
      </c>
      <c r="AZ56" s="73">
        <v>0</v>
      </c>
      <c r="BA56" s="121">
        <v>0</v>
      </c>
      <c r="BB56" s="126">
        <f t="shared" si="0"/>
        <v>6.0760000000000005</v>
      </c>
    </row>
    <row r="57" spans="1:56" x14ac:dyDescent="0.3">
      <c r="A57" s="74" t="s">
        <v>82</v>
      </c>
      <c r="B57" s="85" t="s">
        <v>156</v>
      </c>
      <c r="C57" s="80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9">
        <f>'Seznam OM'!H60</f>
        <v>0</v>
      </c>
      <c r="P57" s="80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9">
        <f>'Seznam OM'!I60</f>
        <v>0</v>
      </c>
      <c r="AC57" s="80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117">
        <f>'Seznam OM'!J60</f>
        <v>0</v>
      </c>
      <c r="AP57" s="80">
        <v>0</v>
      </c>
      <c r="AQ57" s="73">
        <v>0</v>
      </c>
      <c r="AR57" s="73">
        <v>0</v>
      </c>
      <c r="AS57" s="73">
        <v>0</v>
      </c>
      <c r="AT57" s="73">
        <v>0</v>
      </c>
      <c r="AU57" s="73">
        <v>0</v>
      </c>
      <c r="AV57" s="73">
        <v>0</v>
      </c>
      <c r="AW57" s="73">
        <v>0</v>
      </c>
      <c r="AX57" s="73">
        <v>0</v>
      </c>
      <c r="AY57" s="73">
        <v>0</v>
      </c>
      <c r="AZ57" s="73">
        <v>0</v>
      </c>
      <c r="BA57" s="121">
        <v>0</v>
      </c>
      <c r="BB57" s="126">
        <f t="shared" si="0"/>
        <v>0</v>
      </c>
      <c r="BD57" t="e">
        <f>VLOOKUP('Seznam OM'!C60,List1!$T$5:$AG$145,14,FALSE)</f>
        <v>#N/A</v>
      </c>
    </row>
    <row r="58" spans="1:56" x14ac:dyDescent="0.3">
      <c r="A58" s="74" t="s">
        <v>108</v>
      </c>
      <c r="B58" s="85" t="s">
        <v>158</v>
      </c>
      <c r="C58" s="80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9">
        <f>'Seznam OM'!H61</f>
        <v>0</v>
      </c>
      <c r="P58" s="80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9">
        <f>'Seznam OM'!I61</f>
        <v>0</v>
      </c>
      <c r="AC58" s="80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117">
        <f>'Seznam OM'!J61</f>
        <v>0</v>
      </c>
      <c r="AP58" s="80">
        <v>0</v>
      </c>
      <c r="AQ58" s="73">
        <v>0</v>
      </c>
      <c r="AR58" s="73">
        <v>0</v>
      </c>
      <c r="AS58" s="73">
        <v>0</v>
      </c>
      <c r="AT58" s="73">
        <v>0</v>
      </c>
      <c r="AU58" s="73">
        <v>0</v>
      </c>
      <c r="AV58" s="73">
        <v>0</v>
      </c>
      <c r="AW58" s="73">
        <v>0</v>
      </c>
      <c r="AX58" s="73">
        <v>0</v>
      </c>
      <c r="AY58" s="73">
        <v>0</v>
      </c>
      <c r="AZ58" s="73">
        <v>0</v>
      </c>
      <c r="BA58" s="121">
        <v>0</v>
      </c>
      <c r="BB58" s="126">
        <f t="shared" si="0"/>
        <v>0</v>
      </c>
      <c r="BD58">
        <f>VLOOKUP('Seznam OM'!C61,List1!$T$5:$AG$145,14,FALSE)</f>
        <v>1.165252</v>
      </c>
    </row>
    <row r="59" spans="1:56" x14ac:dyDescent="0.3">
      <c r="A59" s="74" t="s">
        <v>108</v>
      </c>
      <c r="B59" s="85" t="s">
        <v>160</v>
      </c>
      <c r="C59" s="80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9">
        <f>'Seznam OM'!H62</f>
        <v>0</v>
      </c>
      <c r="P59" s="80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9">
        <f>'Seznam OM'!I62</f>
        <v>0</v>
      </c>
      <c r="AC59" s="80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117">
        <f>'Seznam OM'!J62</f>
        <v>0</v>
      </c>
      <c r="AP59" s="80">
        <v>0.50800000000000001</v>
      </c>
      <c r="AQ59" s="73">
        <v>0.46</v>
      </c>
      <c r="AR59" s="73">
        <v>0.48799999999999999</v>
      </c>
      <c r="AS59" s="73">
        <v>0.434</v>
      </c>
      <c r="AT59" s="73">
        <v>0.13600000000000001</v>
      </c>
      <c r="AU59" s="73">
        <v>0</v>
      </c>
      <c r="AV59" s="73">
        <v>0</v>
      </c>
      <c r="AW59" s="73">
        <v>0</v>
      </c>
      <c r="AX59" s="73">
        <v>0</v>
      </c>
      <c r="AY59" s="73">
        <v>0</v>
      </c>
      <c r="AZ59" s="73">
        <v>0</v>
      </c>
      <c r="BA59" s="121">
        <v>0</v>
      </c>
      <c r="BB59" s="126">
        <f t="shared" si="0"/>
        <v>2.0259999999999998</v>
      </c>
      <c r="BD59">
        <f>VLOOKUP('Seznam OM'!C62,List1!$T$5:$AG$145,14,FALSE)</f>
        <v>0.912076</v>
      </c>
    </row>
    <row r="60" spans="1:56" x14ac:dyDescent="0.3">
      <c r="A60" s="74" t="s">
        <v>108</v>
      </c>
      <c r="B60" s="85" t="s">
        <v>162</v>
      </c>
      <c r="C60" s="80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9">
        <f>'Seznam OM'!H63</f>
        <v>0</v>
      </c>
      <c r="P60" s="80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9">
        <f>'Seznam OM'!I63</f>
        <v>0</v>
      </c>
      <c r="AC60" s="80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117">
        <f>'Seznam OM'!J63</f>
        <v>0</v>
      </c>
      <c r="AP60" s="80">
        <v>0.31</v>
      </c>
      <c r="AQ60" s="73">
        <v>8.1000000000000003E-2</v>
      </c>
      <c r="AR60" s="73">
        <v>0</v>
      </c>
      <c r="AS60" s="73">
        <v>0</v>
      </c>
      <c r="AT60" s="73">
        <v>0</v>
      </c>
      <c r="AU60" s="73">
        <v>0</v>
      </c>
      <c r="AV60" s="73">
        <v>0</v>
      </c>
      <c r="AW60" s="73">
        <v>0</v>
      </c>
      <c r="AX60" s="73">
        <v>0</v>
      </c>
      <c r="AY60" s="73">
        <v>0</v>
      </c>
      <c r="AZ60" s="73">
        <v>0</v>
      </c>
      <c r="BA60" s="121">
        <v>0</v>
      </c>
      <c r="BB60" s="126">
        <f t="shared" si="0"/>
        <v>0.39100000000000001</v>
      </c>
      <c r="BD60">
        <f>VLOOKUP('Seznam OM'!C63,List1!$T$5:$AG$145,14,FALSE)</f>
        <v>0.88892099999999996</v>
      </c>
    </row>
    <row r="61" spans="1:56" x14ac:dyDescent="0.3">
      <c r="A61" s="74" t="s">
        <v>108</v>
      </c>
      <c r="B61" s="85" t="s">
        <v>164</v>
      </c>
      <c r="C61" s="80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9">
        <f>'Seznam OM'!H64</f>
        <v>0</v>
      </c>
      <c r="P61" s="80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9">
        <f>'Seznam OM'!I64</f>
        <v>0</v>
      </c>
      <c r="AC61" s="80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117">
        <f>'Seznam OM'!J64</f>
        <v>0</v>
      </c>
      <c r="AP61" s="80">
        <v>5.2999999999999999E-2</v>
      </c>
      <c r="AQ61" s="73">
        <v>4.8000000000000001E-2</v>
      </c>
      <c r="AR61" s="73">
        <v>0.02</v>
      </c>
      <c r="AS61" s="73">
        <v>0</v>
      </c>
      <c r="AT61" s="73">
        <v>0</v>
      </c>
      <c r="AU61" s="73">
        <v>0</v>
      </c>
      <c r="AV61" s="73">
        <v>0</v>
      </c>
      <c r="AW61" s="73">
        <v>0</v>
      </c>
      <c r="AX61" s="73">
        <v>0</v>
      </c>
      <c r="AY61" s="73">
        <v>0</v>
      </c>
      <c r="AZ61" s="73">
        <v>0</v>
      </c>
      <c r="BA61" s="121">
        <v>0</v>
      </c>
      <c r="BB61" s="126">
        <f t="shared" si="0"/>
        <v>0.12100000000000001</v>
      </c>
      <c r="BD61">
        <f>VLOOKUP('Seznam OM'!C64,List1!$T$5:$AG$145,14,FALSE)</f>
        <v>0.79035999999999995</v>
      </c>
    </row>
    <row r="62" spans="1:56" x14ac:dyDescent="0.3">
      <c r="A62" s="74" t="s">
        <v>108</v>
      </c>
      <c r="B62" s="85" t="s">
        <v>166</v>
      </c>
      <c r="C62" s="80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9">
        <f>'Seznam OM'!H65</f>
        <v>0</v>
      </c>
      <c r="P62" s="80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9">
        <f>'Seznam OM'!I65</f>
        <v>0</v>
      </c>
      <c r="AC62" s="80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117">
        <f>'Seznam OM'!J65</f>
        <v>0</v>
      </c>
      <c r="AP62" s="80">
        <v>0</v>
      </c>
      <c r="AQ62" s="73">
        <v>0</v>
      </c>
      <c r="AR62" s="73">
        <v>0</v>
      </c>
      <c r="AS62" s="73">
        <v>0</v>
      </c>
      <c r="AT62" s="73">
        <v>0</v>
      </c>
      <c r="AU62" s="73">
        <v>1E-3</v>
      </c>
      <c r="AV62" s="73">
        <v>0.27</v>
      </c>
      <c r="AW62" s="73">
        <v>2.1000000000000001E-2</v>
      </c>
      <c r="AX62" s="73">
        <v>0.24099999999999999</v>
      </c>
      <c r="AY62" s="73">
        <v>1.9E-2</v>
      </c>
      <c r="AZ62" s="73">
        <v>0</v>
      </c>
      <c r="BA62" s="121">
        <v>0</v>
      </c>
      <c r="BB62" s="126">
        <f t="shared" si="0"/>
        <v>0.55200000000000005</v>
      </c>
      <c r="BD62">
        <f>VLOOKUP('Seznam OM'!C65,List1!$T$5:$AG$145,14,FALSE)</f>
        <v>0.59599999999999997</v>
      </c>
    </row>
    <row r="63" spans="1:56" x14ac:dyDescent="0.3">
      <c r="A63" s="74" t="s">
        <v>108</v>
      </c>
      <c r="B63" s="85" t="s">
        <v>168</v>
      </c>
      <c r="C63" s="80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9">
        <f>'Seznam OM'!H66</f>
        <v>0</v>
      </c>
      <c r="P63" s="80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9">
        <f>'Seznam OM'!I66</f>
        <v>0</v>
      </c>
      <c r="AC63" s="80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117">
        <f>'Seznam OM'!J66</f>
        <v>0</v>
      </c>
      <c r="AP63" s="80">
        <v>0</v>
      </c>
      <c r="AQ63" s="73">
        <v>0</v>
      </c>
      <c r="AR63" s="73">
        <v>0</v>
      </c>
      <c r="AS63" s="73">
        <v>0</v>
      </c>
      <c r="AT63" s="73">
        <v>0</v>
      </c>
      <c r="AU63" s="73">
        <v>0</v>
      </c>
      <c r="AV63" s="73">
        <v>0</v>
      </c>
      <c r="AW63" s="73">
        <v>0</v>
      </c>
      <c r="AX63" s="73">
        <v>0</v>
      </c>
      <c r="AY63" s="73">
        <v>0</v>
      </c>
      <c r="AZ63" s="73">
        <v>0</v>
      </c>
      <c r="BA63" s="121">
        <v>0</v>
      </c>
      <c r="BB63" s="126">
        <f t="shared" si="0"/>
        <v>0</v>
      </c>
      <c r="BD63">
        <f>VLOOKUP('Seznam OM'!C66,List1!$T$5:$AG$145,14,FALSE)</f>
        <v>0.399698</v>
      </c>
    </row>
    <row r="64" spans="1:56" x14ac:dyDescent="0.3">
      <c r="A64" s="74" t="s">
        <v>108</v>
      </c>
      <c r="B64" s="85" t="s">
        <v>170</v>
      </c>
      <c r="C64" s="80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9">
        <f>'Seznam OM'!H67</f>
        <v>0</v>
      </c>
      <c r="P64" s="80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9">
        <f>'Seznam OM'!I67</f>
        <v>0</v>
      </c>
      <c r="AC64" s="80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117">
        <f>'Seznam OM'!J67</f>
        <v>0</v>
      </c>
      <c r="AP64" s="80">
        <v>9.5000000000000001E-2</v>
      </c>
      <c r="AQ64" s="73">
        <v>8.5999999999999993E-2</v>
      </c>
      <c r="AR64" s="73">
        <v>9.0999999999999998E-2</v>
      </c>
      <c r="AS64" s="73">
        <v>0.05</v>
      </c>
      <c r="AT64" s="73">
        <v>0</v>
      </c>
      <c r="AU64" s="73">
        <v>0</v>
      </c>
      <c r="AV64" s="73">
        <v>0</v>
      </c>
      <c r="AW64" s="73">
        <v>0</v>
      </c>
      <c r="AX64" s="73">
        <v>0</v>
      </c>
      <c r="AY64" s="73">
        <v>0</v>
      </c>
      <c r="AZ64" s="73">
        <v>0</v>
      </c>
      <c r="BA64" s="121">
        <v>0</v>
      </c>
      <c r="BB64" s="126">
        <f t="shared" si="0"/>
        <v>0.32200000000000001</v>
      </c>
      <c r="BD64">
        <f>VLOOKUP('Seznam OM'!C67,List1!$T$5:$AG$145,14,FALSE)</f>
        <v>0.35894899999999996</v>
      </c>
    </row>
    <row r="65" spans="1:56" x14ac:dyDescent="0.3">
      <c r="A65" s="74" t="s">
        <v>108</v>
      </c>
      <c r="B65" s="85" t="s">
        <v>172</v>
      </c>
      <c r="C65" s="80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9">
        <f>'Seznam OM'!H68</f>
        <v>0</v>
      </c>
      <c r="P65" s="80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9">
        <f>'Seznam OM'!I68</f>
        <v>0</v>
      </c>
      <c r="AC65" s="80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117">
        <f>'Seznam OM'!J68</f>
        <v>0</v>
      </c>
      <c r="AP65" s="80">
        <v>6.2E-2</v>
      </c>
      <c r="AQ65" s="73">
        <v>3.7999999999999999E-2</v>
      </c>
      <c r="AR65" s="73">
        <v>0</v>
      </c>
      <c r="AS65" s="73">
        <v>0</v>
      </c>
      <c r="AT65" s="73">
        <v>0</v>
      </c>
      <c r="AU65" s="73">
        <v>0</v>
      </c>
      <c r="AV65" s="73">
        <v>0</v>
      </c>
      <c r="AW65" s="73">
        <v>0</v>
      </c>
      <c r="AX65" s="73">
        <v>0</v>
      </c>
      <c r="AY65" s="73">
        <v>0</v>
      </c>
      <c r="AZ65" s="73">
        <v>0</v>
      </c>
      <c r="BA65" s="121">
        <v>0</v>
      </c>
      <c r="BB65" s="126">
        <f t="shared" si="0"/>
        <v>0.1</v>
      </c>
      <c r="BD65">
        <f>VLOOKUP('Seznam OM'!C68,List1!$T$5:$AG$145,14,FALSE)</f>
        <v>0.310977</v>
      </c>
    </row>
    <row r="66" spans="1:56" x14ac:dyDescent="0.3">
      <c r="A66" s="74" t="s">
        <v>44</v>
      </c>
      <c r="B66" s="87" t="s">
        <v>174</v>
      </c>
      <c r="C66" s="80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9">
        <f>'Seznam OM'!H69</f>
        <v>0</v>
      </c>
      <c r="P66" s="80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9">
        <f>'Seznam OM'!I69</f>
        <v>0</v>
      </c>
      <c r="AC66" s="80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117">
        <f>'Seznam OM'!J69</f>
        <v>0</v>
      </c>
      <c r="AP66" s="80">
        <v>1.9E-2</v>
      </c>
      <c r="AQ66" s="73">
        <v>1.7000000000000001E-2</v>
      </c>
      <c r="AR66" s="73">
        <v>1.7999999999999999E-2</v>
      </c>
      <c r="AS66" s="73">
        <v>1.6E-2</v>
      </c>
      <c r="AT66" s="73">
        <v>1.6E-2</v>
      </c>
      <c r="AU66" s="73">
        <v>0</v>
      </c>
      <c r="AV66" s="73">
        <v>0</v>
      </c>
      <c r="AW66" s="73">
        <v>0</v>
      </c>
      <c r="AX66" s="73">
        <v>0</v>
      </c>
      <c r="AY66" s="73">
        <v>0</v>
      </c>
      <c r="AZ66" s="73">
        <v>0</v>
      </c>
      <c r="BA66" s="121">
        <v>0</v>
      </c>
      <c r="BB66" s="126">
        <f t="shared" si="0"/>
        <v>8.6000000000000007E-2</v>
      </c>
      <c r="BD66">
        <f>VLOOKUP('Seznam OM'!C69,List1!$T$5:$AG$145,14,FALSE)</f>
        <v>0.29870200000000002</v>
      </c>
    </row>
    <row r="67" spans="1:56" x14ac:dyDescent="0.3">
      <c r="A67" s="74" t="s">
        <v>108</v>
      </c>
      <c r="B67" s="85" t="s">
        <v>176</v>
      </c>
      <c r="C67" s="80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9">
        <f>'Seznam OM'!H70</f>
        <v>0</v>
      </c>
      <c r="P67" s="80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9">
        <f>'Seznam OM'!I70</f>
        <v>0</v>
      </c>
      <c r="AC67" s="80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117">
        <f>'Seznam OM'!J70</f>
        <v>0</v>
      </c>
      <c r="AP67" s="80">
        <v>0.48799999999999999</v>
      </c>
      <c r="AQ67" s="73">
        <v>0.16200000000000001</v>
      </c>
      <c r="AR67" s="73">
        <v>0</v>
      </c>
      <c r="AS67" s="73">
        <v>0</v>
      </c>
      <c r="AT67" s="73">
        <v>0</v>
      </c>
      <c r="AU67" s="73">
        <v>0</v>
      </c>
      <c r="AV67" s="73">
        <v>0</v>
      </c>
      <c r="AW67" s="73">
        <v>0</v>
      </c>
      <c r="AX67" s="73">
        <v>0</v>
      </c>
      <c r="AY67" s="73">
        <v>0</v>
      </c>
      <c r="AZ67" s="73">
        <v>0</v>
      </c>
      <c r="BA67" s="121">
        <v>0</v>
      </c>
      <c r="BB67" s="126">
        <f t="shared" si="0"/>
        <v>0.65</v>
      </c>
      <c r="BD67">
        <f>VLOOKUP('Seznam OM'!C70,List1!$T$5:$AG$145,14,FALSE)</f>
        <v>0.25600000000000001</v>
      </c>
    </row>
    <row r="68" spans="1:56" x14ac:dyDescent="0.3">
      <c r="A68" s="74" t="s">
        <v>44</v>
      </c>
      <c r="B68" s="87" t="s">
        <v>178</v>
      </c>
      <c r="C68" s="80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9">
        <f>'Seznam OM'!H71</f>
        <v>0</v>
      </c>
      <c r="P68" s="80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9">
        <f>'Seznam OM'!I71</f>
        <v>0</v>
      </c>
      <c r="AC68" s="80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117">
        <f>'Seznam OM'!J71</f>
        <v>0</v>
      </c>
      <c r="AP68" s="80">
        <v>0.11799999999999999</v>
      </c>
      <c r="AQ68" s="73">
        <v>8.8999999999999996E-2</v>
      </c>
      <c r="AR68" s="73">
        <v>0</v>
      </c>
      <c r="AS68" s="73">
        <v>0</v>
      </c>
      <c r="AT68" s="73">
        <v>0</v>
      </c>
      <c r="AU68" s="73">
        <v>0</v>
      </c>
      <c r="AV68" s="73">
        <v>0</v>
      </c>
      <c r="AW68" s="73">
        <v>0</v>
      </c>
      <c r="AX68" s="73">
        <v>0</v>
      </c>
      <c r="AY68" s="73">
        <v>0</v>
      </c>
      <c r="AZ68" s="73">
        <v>0</v>
      </c>
      <c r="BA68" s="121">
        <v>0</v>
      </c>
      <c r="BB68" s="126">
        <f t="shared" si="0"/>
        <v>0.20699999999999999</v>
      </c>
      <c r="BD68">
        <f>VLOOKUP('Seznam OM'!C71,List1!$T$5:$AG$145,14,FALSE)</f>
        <v>0.25087300000000001</v>
      </c>
    </row>
    <row r="69" spans="1:56" x14ac:dyDescent="0.3">
      <c r="A69" s="74" t="s">
        <v>108</v>
      </c>
      <c r="B69" s="85" t="s">
        <v>180</v>
      </c>
      <c r="C69" s="80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9">
        <f>'Seznam OM'!H72</f>
        <v>0</v>
      </c>
      <c r="P69" s="80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9">
        <f>'Seznam OM'!I72</f>
        <v>0</v>
      </c>
      <c r="AC69" s="80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117">
        <f>'Seznam OM'!J72</f>
        <v>0</v>
      </c>
      <c r="AP69" s="80">
        <v>0.314</v>
      </c>
      <c r="AQ69" s="73">
        <v>0.28399999999999997</v>
      </c>
      <c r="AR69" s="73">
        <v>0.30199999999999999</v>
      </c>
      <c r="AS69" s="73">
        <v>0.105</v>
      </c>
      <c r="AT69" s="73">
        <v>0</v>
      </c>
      <c r="AU69" s="73">
        <v>0</v>
      </c>
      <c r="AV69" s="73">
        <v>0</v>
      </c>
      <c r="AW69" s="73">
        <v>0</v>
      </c>
      <c r="AX69" s="73">
        <v>0</v>
      </c>
      <c r="AY69" s="73">
        <v>0</v>
      </c>
      <c r="AZ69" s="73">
        <v>0</v>
      </c>
      <c r="BA69" s="121">
        <v>0</v>
      </c>
      <c r="BB69" s="126">
        <f t="shared" ref="BB69:BB95" si="1">SUM(AP69:BA69)</f>
        <v>1.0049999999999999</v>
      </c>
      <c r="BD69">
        <f>VLOOKUP('Seznam OM'!C72,List1!$T$5:$AG$145,14,FALSE)</f>
        <v>0.21649199999999999</v>
      </c>
    </row>
    <row r="70" spans="1:56" x14ac:dyDescent="0.3">
      <c r="A70" s="74" t="s">
        <v>108</v>
      </c>
      <c r="B70" s="85" t="s">
        <v>182</v>
      </c>
      <c r="C70" s="80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9">
        <f>'Seznam OM'!H73</f>
        <v>0</v>
      </c>
      <c r="P70" s="80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9">
        <f>'Seznam OM'!I73</f>
        <v>0</v>
      </c>
      <c r="AC70" s="80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117">
        <f>'Seznam OM'!J73</f>
        <v>0</v>
      </c>
      <c r="AP70" s="80">
        <v>0.29699999999999999</v>
      </c>
      <c r="AQ70" s="73">
        <v>0.26900000000000002</v>
      </c>
      <c r="AR70" s="73">
        <v>2.1000000000000001E-2</v>
      </c>
      <c r="AS70" s="73">
        <v>0</v>
      </c>
      <c r="AT70" s="73">
        <v>0</v>
      </c>
      <c r="AU70" s="73">
        <v>0</v>
      </c>
      <c r="AV70" s="73">
        <v>0</v>
      </c>
      <c r="AW70" s="73">
        <v>0</v>
      </c>
      <c r="AX70" s="73">
        <v>0</v>
      </c>
      <c r="AY70" s="73">
        <v>0</v>
      </c>
      <c r="AZ70" s="73">
        <v>0</v>
      </c>
      <c r="BA70" s="121">
        <v>0</v>
      </c>
      <c r="BB70" s="126">
        <f t="shared" si="1"/>
        <v>0.58700000000000008</v>
      </c>
      <c r="BD70">
        <f>VLOOKUP('Seznam OM'!C73,List1!$T$5:$AG$145,14,FALSE)</f>
        <v>0.197354</v>
      </c>
    </row>
    <row r="71" spans="1:56" x14ac:dyDescent="0.3">
      <c r="A71" s="74" t="s">
        <v>108</v>
      </c>
      <c r="B71" s="85" t="s">
        <v>184</v>
      </c>
      <c r="C71" s="80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9">
        <f>'Seznam OM'!H74</f>
        <v>0</v>
      </c>
      <c r="P71" s="80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9">
        <f>'Seznam OM'!I74</f>
        <v>0</v>
      </c>
      <c r="AC71" s="80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117">
        <f>'Seznam OM'!J74</f>
        <v>0</v>
      </c>
      <c r="AP71" s="80">
        <v>0</v>
      </c>
      <c r="AQ71" s="73">
        <v>0</v>
      </c>
      <c r="AR71" s="73">
        <v>0</v>
      </c>
      <c r="AS71" s="73">
        <v>0</v>
      </c>
      <c r="AT71" s="73">
        <v>0</v>
      </c>
      <c r="AU71" s="73">
        <v>0</v>
      </c>
      <c r="AV71" s="73">
        <v>0</v>
      </c>
      <c r="AW71" s="73">
        <v>0</v>
      </c>
      <c r="AX71" s="73">
        <v>0</v>
      </c>
      <c r="AY71" s="73">
        <v>0</v>
      </c>
      <c r="AZ71" s="73">
        <v>0</v>
      </c>
      <c r="BA71" s="121">
        <v>0</v>
      </c>
      <c r="BB71" s="126">
        <f t="shared" si="1"/>
        <v>0</v>
      </c>
      <c r="BD71">
        <f>VLOOKUP('Seznam OM'!C74,List1!$T$5:$AG$145,14,FALSE)</f>
        <v>0.187998</v>
      </c>
    </row>
    <row r="72" spans="1:56" x14ac:dyDescent="0.3">
      <c r="A72" s="74" t="s">
        <v>108</v>
      </c>
      <c r="B72" s="85" t="s">
        <v>186</v>
      </c>
      <c r="C72" s="80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9">
        <f>'Seznam OM'!H75</f>
        <v>0</v>
      </c>
      <c r="P72" s="80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9">
        <f>'Seznam OM'!I75</f>
        <v>0</v>
      </c>
      <c r="AC72" s="80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117">
        <f>'Seznam OM'!J75</f>
        <v>0</v>
      </c>
      <c r="AP72" s="80">
        <v>0</v>
      </c>
      <c r="AQ72" s="73">
        <v>0</v>
      </c>
      <c r="AR72" s="73">
        <v>0</v>
      </c>
      <c r="AS72" s="73">
        <v>0</v>
      </c>
      <c r="AT72" s="73">
        <v>0</v>
      </c>
      <c r="AU72" s="73">
        <v>0</v>
      </c>
      <c r="AV72" s="73">
        <v>0</v>
      </c>
      <c r="AW72" s="73">
        <v>0</v>
      </c>
      <c r="AX72" s="73">
        <v>0</v>
      </c>
      <c r="AY72" s="73">
        <v>0</v>
      </c>
      <c r="AZ72" s="73">
        <v>0</v>
      </c>
      <c r="BA72" s="121">
        <v>0</v>
      </c>
      <c r="BB72" s="126">
        <f t="shared" si="1"/>
        <v>0</v>
      </c>
      <c r="BD72">
        <f>VLOOKUP('Seznam OM'!C75,List1!$T$5:$AG$145,14,FALSE)</f>
        <v>0.17899999999999999</v>
      </c>
    </row>
    <row r="73" spans="1:56" x14ac:dyDescent="0.3">
      <c r="A73" s="74" t="s">
        <v>44</v>
      </c>
      <c r="B73" s="87" t="s">
        <v>188</v>
      </c>
      <c r="C73" s="80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9">
        <f>'Seznam OM'!H76</f>
        <v>0</v>
      </c>
      <c r="P73" s="80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9">
        <f>'Seznam OM'!I76</f>
        <v>0</v>
      </c>
      <c r="AC73" s="80"/>
      <c r="AD73" s="73"/>
      <c r="AE73" s="73"/>
      <c r="AF73" s="73"/>
      <c r="AG73" s="73"/>
      <c r="AH73" s="73"/>
      <c r="AI73" s="73"/>
      <c r="AJ73" s="73"/>
      <c r="AK73" s="73"/>
      <c r="AL73" s="73"/>
      <c r="AM73" s="73"/>
      <c r="AN73" s="73"/>
      <c r="AO73" s="117">
        <f>'Seznam OM'!J76</f>
        <v>0</v>
      </c>
      <c r="AP73" s="80">
        <v>1.6E-2</v>
      </c>
      <c r="AQ73" s="73">
        <v>1.4999999999999999E-2</v>
      </c>
      <c r="AR73" s="73">
        <v>1.6E-2</v>
      </c>
      <c r="AS73" s="73">
        <v>6.0000000000000001E-3</v>
      </c>
      <c r="AT73" s="73">
        <v>0</v>
      </c>
      <c r="AU73" s="73">
        <v>0</v>
      </c>
      <c r="AV73" s="73">
        <v>0</v>
      </c>
      <c r="AW73" s="73">
        <v>0</v>
      </c>
      <c r="AX73" s="73">
        <v>0</v>
      </c>
      <c r="AY73" s="73">
        <v>0</v>
      </c>
      <c r="AZ73" s="73">
        <v>0</v>
      </c>
      <c r="BA73" s="121">
        <v>0</v>
      </c>
      <c r="BB73" s="126">
        <f t="shared" si="1"/>
        <v>5.2999999999999999E-2</v>
      </c>
      <c r="BD73">
        <f>VLOOKUP('Seznam OM'!C76,List1!$T$5:$AG$145,14,FALSE)</f>
        <v>0.17616899999999999</v>
      </c>
    </row>
    <row r="74" spans="1:56" x14ac:dyDescent="0.3">
      <c r="A74" s="74" t="s">
        <v>44</v>
      </c>
      <c r="B74" s="87" t="s">
        <v>190</v>
      </c>
      <c r="C74" s="80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9">
        <f>'Seznam OM'!H77</f>
        <v>0</v>
      </c>
      <c r="P74" s="80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9">
        <f>'Seznam OM'!I77</f>
        <v>0</v>
      </c>
      <c r="AC74" s="80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117">
        <f>'Seznam OM'!J77</f>
        <v>0</v>
      </c>
      <c r="AP74" s="80">
        <v>8.9999999999999993E-3</v>
      </c>
      <c r="AQ74" s="73">
        <v>8.0000000000000002E-3</v>
      </c>
      <c r="AR74" s="73">
        <v>8.9999999999999993E-3</v>
      </c>
      <c r="AS74" s="73">
        <v>8.0000000000000002E-3</v>
      </c>
      <c r="AT74" s="73">
        <v>8.0000000000000002E-3</v>
      </c>
      <c r="AU74" s="73">
        <v>1E-3</v>
      </c>
      <c r="AV74" s="73">
        <v>0</v>
      </c>
      <c r="AW74" s="73">
        <v>0</v>
      </c>
      <c r="AX74" s="73">
        <v>0</v>
      </c>
      <c r="AY74" s="73">
        <v>0</v>
      </c>
      <c r="AZ74" s="73">
        <v>0</v>
      </c>
      <c r="BA74" s="121">
        <v>0</v>
      </c>
      <c r="BB74" s="126">
        <f t="shared" si="1"/>
        <v>4.3000000000000003E-2</v>
      </c>
      <c r="BD74">
        <f>VLOOKUP('Seznam OM'!C77,List1!$T$5:$AG$145,14,FALSE)</f>
        <v>0.16936999999999999</v>
      </c>
    </row>
    <row r="75" spans="1:56" x14ac:dyDescent="0.3">
      <c r="A75" s="74" t="s">
        <v>108</v>
      </c>
      <c r="B75" s="85" t="s">
        <v>192</v>
      </c>
      <c r="C75" s="80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9">
        <f>'Seznam OM'!H78</f>
        <v>0</v>
      </c>
      <c r="P75" s="80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9">
        <f>'Seznam OM'!I78</f>
        <v>0</v>
      </c>
      <c r="AC75" s="80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117">
        <f>'Seznam OM'!J78</f>
        <v>0</v>
      </c>
      <c r="AP75" s="80">
        <v>0.14000000000000001</v>
      </c>
      <c r="AQ75" s="73">
        <v>0.127</v>
      </c>
      <c r="AR75" s="73">
        <v>0.01</v>
      </c>
      <c r="AS75" s="73">
        <v>0</v>
      </c>
      <c r="AT75" s="73">
        <v>0</v>
      </c>
      <c r="AU75" s="73">
        <v>0</v>
      </c>
      <c r="AV75" s="73">
        <v>0</v>
      </c>
      <c r="AW75" s="73">
        <v>0</v>
      </c>
      <c r="AX75" s="73">
        <v>0</v>
      </c>
      <c r="AY75" s="73">
        <v>0</v>
      </c>
      <c r="AZ75" s="73">
        <v>0</v>
      </c>
      <c r="BA75" s="121">
        <v>0</v>
      </c>
      <c r="BB75" s="126">
        <f t="shared" si="1"/>
        <v>0.27700000000000002</v>
      </c>
      <c r="BD75">
        <f>VLOOKUP('Seznam OM'!C78,List1!$T$5:$AG$145,14,FALSE)</f>
        <v>0.16916</v>
      </c>
    </row>
    <row r="76" spans="1:56" x14ac:dyDescent="0.3">
      <c r="A76" s="74" t="s">
        <v>44</v>
      </c>
      <c r="B76" s="87" t="s">
        <v>194</v>
      </c>
      <c r="C76" s="80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9">
        <f>'Seznam OM'!H79</f>
        <v>0</v>
      </c>
      <c r="P76" s="80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9">
        <f>'Seznam OM'!I79</f>
        <v>0</v>
      </c>
      <c r="AC76" s="80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117">
        <f>'Seznam OM'!J79</f>
        <v>0</v>
      </c>
      <c r="AP76" s="80">
        <v>1.4999999999999999E-2</v>
      </c>
      <c r="AQ76" s="73">
        <v>1.4E-2</v>
      </c>
      <c r="AR76" s="73">
        <v>1.4E-2</v>
      </c>
      <c r="AS76" s="73">
        <v>1.2999999999999999E-2</v>
      </c>
      <c r="AT76" s="73">
        <v>5.0000000000000001E-3</v>
      </c>
      <c r="AU76" s="73">
        <v>0</v>
      </c>
      <c r="AV76" s="73">
        <v>0</v>
      </c>
      <c r="AW76" s="73">
        <v>0</v>
      </c>
      <c r="AX76" s="73">
        <v>0</v>
      </c>
      <c r="AY76" s="73">
        <v>0</v>
      </c>
      <c r="AZ76" s="73">
        <v>0</v>
      </c>
      <c r="BA76" s="121">
        <v>0</v>
      </c>
      <c r="BB76" s="126">
        <f t="shared" si="1"/>
        <v>6.0999999999999992E-2</v>
      </c>
      <c r="BD76">
        <f>VLOOKUP('Seznam OM'!C79,List1!$T$5:$AG$145,14,FALSE)</f>
        <v>0.167988</v>
      </c>
    </row>
    <row r="77" spans="1:56" x14ac:dyDescent="0.3">
      <c r="A77" s="74" t="s">
        <v>44</v>
      </c>
      <c r="B77" s="87" t="s">
        <v>196</v>
      </c>
      <c r="C77" s="80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9">
        <f>'Seznam OM'!H80</f>
        <v>0</v>
      </c>
      <c r="P77" s="80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9">
        <f>'Seznam OM'!I80</f>
        <v>0</v>
      </c>
      <c r="AC77" s="80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117">
        <f>'Seznam OM'!J80</f>
        <v>0</v>
      </c>
      <c r="AP77" s="80">
        <v>0.01</v>
      </c>
      <c r="AQ77" s="73">
        <v>8.9999999999999993E-3</v>
      </c>
      <c r="AR77" s="73">
        <v>0.01</v>
      </c>
      <c r="AS77" s="73">
        <v>8.9999999999999993E-3</v>
      </c>
      <c r="AT77" s="73">
        <v>8.9999999999999993E-3</v>
      </c>
      <c r="AU77" s="73">
        <v>0</v>
      </c>
      <c r="AV77" s="73">
        <v>0</v>
      </c>
      <c r="AW77" s="73">
        <v>0</v>
      </c>
      <c r="AX77" s="73">
        <v>0</v>
      </c>
      <c r="AY77" s="73">
        <v>0</v>
      </c>
      <c r="AZ77" s="73">
        <v>0</v>
      </c>
      <c r="BA77" s="121">
        <v>0</v>
      </c>
      <c r="BB77" s="126">
        <f t="shared" si="1"/>
        <v>4.7E-2</v>
      </c>
      <c r="BD77">
        <f>VLOOKUP('Seznam OM'!C80,List1!$T$5:$AG$145,14,FALSE)</f>
        <v>0.164434</v>
      </c>
    </row>
    <row r="78" spans="1:56" x14ac:dyDescent="0.3">
      <c r="A78" s="74" t="s">
        <v>44</v>
      </c>
      <c r="B78" s="87" t="s">
        <v>198</v>
      </c>
      <c r="C78" s="80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9">
        <f>'Seznam OM'!H81</f>
        <v>0</v>
      </c>
      <c r="P78" s="80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9">
        <f>'Seznam OM'!I81</f>
        <v>0</v>
      </c>
      <c r="AC78" s="80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117">
        <f>'Seznam OM'!J81</f>
        <v>0</v>
      </c>
      <c r="AP78" s="80">
        <v>1.4E-2</v>
      </c>
      <c r="AQ78" s="73">
        <v>1.2999999999999999E-2</v>
      </c>
      <c r="AR78" s="73">
        <v>1.2E-2</v>
      </c>
      <c r="AS78" s="73">
        <v>0</v>
      </c>
      <c r="AT78" s="73">
        <v>0</v>
      </c>
      <c r="AU78" s="73">
        <v>0</v>
      </c>
      <c r="AV78" s="73">
        <v>0</v>
      </c>
      <c r="AW78" s="73">
        <v>0</v>
      </c>
      <c r="AX78" s="73">
        <v>0</v>
      </c>
      <c r="AY78" s="73">
        <v>0</v>
      </c>
      <c r="AZ78" s="73">
        <v>0</v>
      </c>
      <c r="BA78" s="121">
        <v>0</v>
      </c>
      <c r="BB78" s="126">
        <f t="shared" si="1"/>
        <v>3.9E-2</v>
      </c>
      <c r="BD78">
        <f>VLOOKUP('Seznam OM'!C81,List1!$T$5:$AG$145,14,FALSE)</f>
        <v>0.16383</v>
      </c>
    </row>
    <row r="79" spans="1:56" x14ac:dyDescent="0.3">
      <c r="A79" s="74" t="s">
        <v>44</v>
      </c>
      <c r="B79" s="87" t="s">
        <v>200</v>
      </c>
      <c r="C79" s="80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9">
        <f>'Seznam OM'!H82</f>
        <v>0</v>
      </c>
      <c r="P79" s="80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9">
        <f>'Seznam OM'!I82</f>
        <v>0</v>
      </c>
      <c r="AC79" s="80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117">
        <f>'Seznam OM'!J82</f>
        <v>0</v>
      </c>
      <c r="AP79" s="80">
        <v>1.4999999999999999E-2</v>
      </c>
      <c r="AQ79" s="73">
        <v>1E-3</v>
      </c>
      <c r="AR79" s="73">
        <v>0</v>
      </c>
      <c r="AS79" s="73">
        <v>0</v>
      </c>
      <c r="AT79" s="73">
        <v>0</v>
      </c>
      <c r="AU79" s="73">
        <v>0</v>
      </c>
      <c r="AV79" s="73">
        <v>0</v>
      </c>
      <c r="AW79" s="73">
        <v>0</v>
      </c>
      <c r="AX79" s="73">
        <v>0</v>
      </c>
      <c r="AY79" s="73">
        <v>0</v>
      </c>
      <c r="AZ79" s="73">
        <v>0</v>
      </c>
      <c r="BA79" s="121">
        <v>0</v>
      </c>
      <c r="BB79" s="126">
        <f t="shared" si="1"/>
        <v>1.6E-2</v>
      </c>
      <c r="BD79">
        <f>VLOOKUP('Seznam OM'!C82,List1!$T$5:$AG$145,14,FALSE)</f>
        <v>0.15648999999999999</v>
      </c>
    </row>
    <row r="80" spans="1:56" x14ac:dyDescent="0.3">
      <c r="A80" s="74" t="s">
        <v>44</v>
      </c>
      <c r="B80" s="87" t="s">
        <v>202</v>
      </c>
      <c r="C80" s="80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9">
        <f>'Seznam OM'!H83</f>
        <v>0</v>
      </c>
      <c r="P80" s="80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9">
        <f>'Seznam OM'!I83</f>
        <v>0</v>
      </c>
      <c r="AC80" s="80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117">
        <f>'Seznam OM'!J83</f>
        <v>0</v>
      </c>
      <c r="AP80" s="80">
        <v>1.2999999999999999E-2</v>
      </c>
      <c r="AQ80" s="73">
        <v>1.2E-2</v>
      </c>
      <c r="AR80" s="73">
        <v>1.2999999999999999E-2</v>
      </c>
      <c r="AS80" s="73">
        <v>2E-3</v>
      </c>
      <c r="AT80" s="73">
        <v>0</v>
      </c>
      <c r="AU80" s="73">
        <v>0</v>
      </c>
      <c r="AV80" s="73">
        <v>0</v>
      </c>
      <c r="AW80" s="73">
        <v>0</v>
      </c>
      <c r="AX80" s="73">
        <v>0</v>
      </c>
      <c r="AY80" s="73">
        <v>0</v>
      </c>
      <c r="AZ80" s="73">
        <v>0</v>
      </c>
      <c r="BA80" s="121">
        <v>0</v>
      </c>
      <c r="BB80" s="126">
        <f t="shared" si="1"/>
        <v>0.04</v>
      </c>
      <c r="BD80">
        <f>VLOOKUP('Seznam OM'!C83,List1!$T$5:$AG$145,14,FALSE)</f>
        <v>0.14916499999999999</v>
      </c>
    </row>
    <row r="81" spans="1:56" x14ac:dyDescent="0.3">
      <c r="A81" s="74" t="s">
        <v>108</v>
      </c>
      <c r="B81" s="85" t="s">
        <v>204</v>
      </c>
      <c r="C81" s="80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9">
        <f>'Seznam OM'!H84</f>
        <v>0</v>
      </c>
      <c r="P81" s="80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9">
        <f>'Seznam OM'!I84</f>
        <v>0</v>
      </c>
      <c r="AC81" s="80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117">
        <f>'Seznam OM'!J84</f>
        <v>0</v>
      </c>
      <c r="AP81" s="80">
        <v>7.1999999999999995E-2</v>
      </c>
      <c r="AQ81" s="73">
        <v>6.5000000000000002E-2</v>
      </c>
      <c r="AR81" s="73">
        <v>5.6000000000000001E-2</v>
      </c>
      <c r="AS81" s="73">
        <v>0</v>
      </c>
      <c r="AT81" s="73">
        <v>0</v>
      </c>
      <c r="AU81" s="73">
        <v>0</v>
      </c>
      <c r="AV81" s="73">
        <v>0</v>
      </c>
      <c r="AW81" s="73">
        <v>0</v>
      </c>
      <c r="AX81" s="73">
        <v>0</v>
      </c>
      <c r="AY81" s="73">
        <v>0</v>
      </c>
      <c r="AZ81" s="73">
        <v>0</v>
      </c>
      <c r="BA81" s="121">
        <v>0</v>
      </c>
      <c r="BB81" s="126">
        <f t="shared" si="1"/>
        <v>0.193</v>
      </c>
      <c r="BD81">
        <f>VLOOKUP('Seznam OM'!C84,List1!$T$5:$AG$145,14,FALSE)</f>
        <v>0.12471599999999999</v>
      </c>
    </row>
    <row r="82" spans="1:56" x14ac:dyDescent="0.3">
      <c r="A82" s="74" t="s">
        <v>108</v>
      </c>
      <c r="B82" s="85" t="s">
        <v>206</v>
      </c>
      <c r="C82" s="80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9">
        <f>'Seznam OM'!H85</f>
        <v>0</v>
      </c>
      <c r="P82" s="80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9">
        <f>'Seznam OM'!I85</f>
        <v>0</v>
      </c>
      <c r="AC82" s="80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117">
        <f>'Seznam OM'!J85</f>
        <v>0</v>
      </c>
      <c r="AP82" s="80">
        <v>0</v>
      </c>
      <c r="AQ82" s="73">
        <v>0</v>
      </c>
      <c r="AR82" s="73">
        <v>0</v>
      </c>
      <c r="AS82" s="73">
        <v>0</v>
      </c>
      <c r="AT82" s="73">
        <v>0</v>
      </c>
      <c r="AU82" s="73">
        <v>0</v>
      </c>
      <c r="AV82" s="73">
        <v>0</v>
      </c>
      <c r="AW82" s="73">
        <v>0</v>
      </c>
      <c r="AX82" s="73">
        <v>0</v>
      </c>
      <c r="AY82" s="73">
        <v>0</v>
      </c>
      <c r="AZ82" s="73">
        <v>0</v>
      </c>
      <c r="BA82" s="121">
        <v>0</v>
      </c>
      <c r="BB82" s="126">
        <f t="shared" si="1"/>
        <v>0</v>
      </c>
      <c r="BD82" t="e">
        <f>VLOOKUP('Seznam OM'!C85,List1!$T$5:$AG$145,14,FALSE)</f>
        <v>#N/A</v>
      </c>
    </row>
    <row r="83" spans="1:56" x14ac:dyDescent="0.3">
      <c r="A83" s="74" t="s">
        <v>108</v>
      </c>
      <c r="B83" s="85" t="s">
        <v>208</v>
      </c>
      <c r="C83" s="80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9">
        <f>'Seznam OM'!H86</f>
        <v>0</v>
      </c>
      <c r="P83" s="80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9">
        <f>'Seznam OM'!I86</f>
        <v>0</v>
      </c>
      <c r="AC83" s="80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117">
        <f>'Seznam OM'!J86</f>
        <v>0</v>
      </c>
      <c r="AP83" s="80">
        <v>2.5000000000000001E-2</v>
      </c>
      <c r="AQ83" s="73">
        <v>2.3E-2</v>
      </c>
      <c r="AR83" s="73">
        <v>2.4E-2</v>
      </c>
      <c r="AS83" s="73">
        <v>8.0000000000000002E-3</v>
      </c>
      <c r="AT83" s="73">
        <v>0</v>
      </c>
      <c r="AU83" s="73">
        <v>0</v>
      </c>
      <c r="AV83" s="73">
        <v>0</v>
      </c>
      <c r="AW83" s="73">
        <v>0</v>
      </c>
      <c r="AX83" s="73">
        <v>0</v>
      </c>
      <c r="AY83" s="73">
        <v>0</v>
      </c>
      <c r="AZ83" s="73">
        <v>0</v>
      </c>
      <c r="BA83" s="121">
        <v>0</v>
      </c>
      <c r="BB83" s="126">
        <f t="shared" si="1"/>
        <v>8.0000000000000016E-2</v>
      </c>
      <c r="BD83">
        <f>VLOOKUP('Seznam OM'!C86,List1!$T$5:$AG$145,14,FALSE)</f>
        <v>8.1105999999999998E-2</v>
      </c>
    </row>
    <row r="84" spans="1:56" x14ac:dyDescent="0.3">
      <c r="A84" s="74" t="s">
        <v>108</v>
      </c>
      <c r="B84" s="85" t="s">
        <v>210</v>
      </c>
      <c r="C84" s="80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9">
        <f>'Seznam OM'!H87</f>
        <v>0</v>
      </c>
      <c r="P84" s="80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9">
        <f>'Seznam OM'!I87</f>
        <v>0</v>
      </c>
      <c r="AC84" s="80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117">
        <f>'Seznam OM'!J87</f>
        <v>0</v>
      </c>
      <c r="AP84" s="80">
        <v>0</v>
      </c>
      <c r="AQ84" s="73">
        <v>0</v>
      </c>
      <c r="AR84" s="73">
        <v>0</v>
      </c>
      <c r="AS84" s="73">
        <v>0</v>
      </c>
      <c r="AT84" s="73">
        <v>0</v>
      </c>
      <c r="AU84" s="73">
        <v>0</v>
      </c>
      <c r="AV84" s="73">
        <v>0</v>
      </c>
      <c r="AW84" s="73">
        <v>0</v>
      </c>
      <c r="AX84" s="73">
        <v>0</v>
      </c>
      <c r="AY84" s="73">
        <v>0</v>
      </c>
      <c r="AZ84" s="73">
        <v>0</v>
      </c>
      <c r="BA84" s="121">
        <v>0</v>
      </c>
      <c r="BB84" s="126">
        <f t="shared" si="1"/>
        <v>0</v>
      </c>
      <c r="BD84" t="e">
        <f>VLOOKUP('Seznam OM'!C87,List1!$T$5:$AG$145,14,FALSE)</f>
        <v>#N/A</v>
      </c>
    </row>
    <row r="85" spans="1:56" x14ac:dyDescent="0.3">
      <c r="A85" s="74" t="s">
        <v>108</v>
      </c>
      <c r="B85" s="85" t="s">
        <v>212</v>
      </c>
      <c r="C85" s="80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9">
        <f>'Seznam OM'!H88</f>
        <v>0</v>
      </c>
      <c r="P85" s="80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9">
        <f>'Seznam OM'!I88</f>
        <v>0</v>
      </c>
      <c r="AC85" s="80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117">
        <f>'Seznam OM'!J88</f>
        <v>0</v>
      </c>
      <c r="AP85" s="80">
        <v>5.8000000000000003E-2</v>
      </c>
      <c r="AQ85" s="73">
        <v>5.1999999999999998E-2</v>
      </c>
      <c r="AR85" s="73">
        <v>4.0000000000000001E-3</v>
      </c>
      <c r="AS85" s="73">
        <v>0</v>
      </c>
      <c r="AT85" s="73">
        <v>0</v>
      </c>
      <c r="AU85" s="73">
        <v>0</v>
      </c>
      <c r="AV85" s="73">
        <v>0</v>
      </c>
      <c r="AW85" s="73">
        <v>0</v>
      </c>
      <c r="AX85" s="73">
        <v>0</v>
      </c>
      <c r="AY85" s="73">
        <v>0</v>
      </c>
      <c r="AZ85" s="73">
        <v>0</v>
      </c>
      <c r="BA85" s="121">
        <v>0</v>
      </c>
      <c r="BB85" s="126">
        <f t="shared" si="1"/>
        <v>0.114</v>
      </c>
      <c r="BD85">
        <f>VLOOKUP('Seznam OM'!C88,List1!$T$5:$AG$145,14,FALSE)</f>
        <v>7.6121999999999995E-2</v>
      </c>
    </row>
    <row r="86" spans="1:56" x14ac:dyDescent="0.3">
      <c r="A86" s="74" t="s">
        <v>108</v>
      </c>
      <c r="B86" s="85" t="s">
        <v>214</v>
      </c>
      <c r="C86" s="80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9">
        <f>'Seznam OM'!H89</f>
        <v>0</v>
      </c>
      <c r="P86" s="80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9">
        <f>'Seznam OM'!I89</f>
        <v>0</v>
      </c>
      <c r="AC86" s="80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117">
        <f>'Seznam OM'!J89</f>
        <v>0</v>
      </c>
      <c r="AP86" s="80">
        <v>0.74099999999999999</v>
      </c>
      <c r="AQ86" s="73">
        <v>0.67</v>
      </c>
      <c r="AR86" s="73">
        <v>5.0999999999999997E-2</v>
      </c>
      <c r="AS86" s="73">
        <v>0</v>
      </c>
      <c r="AT86" s="73">
        <v>0</v>
      </c>
      <c r="AU86" s="73">
        <v>0</v>
      </c>
      <c r="AV86" s="73">
        <v>0</v>
      </c>
      <c r="AW86" s="73">
        <v>0</v>
      </c>
      <c r="AX86" s="73">
        <v>0</v>
      </c>
      <c r="AY86" s="73">
        <v>0</v>
      </c>
      <c r="AZ86" s="73">
        <v>0</v>
      </c>
      <c r="BA86" s="121">
        <v>0</v>
      </c>
      <c r="BB86" s="126">
        <f t="shared" si="1"/>
        <v>1.462</v>
      </c>
      <c r="BD86">
        <f>VLOOKUP('Seznam OM'!C89,List1!$T$5:$AG$145,14,FALSE)</f>
        <v>7.0484000000000005E-2</v>
      </c>
    </row>
    <row r="87" spans="1:56" x14ac:dyDescent="0.3">
      <c r="A87" s="74" t="s">
        <v>108</v>
      </c>
      <c r="B87" s="85" t="s">
        <v>216</v>
      </c>
      <c r="C87" s="80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9">
        <f>'Seznam OM'!H90</f>
        <v>0</v>
      </c>
      <c r="P87" s="80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9">
        <f>'Seznam OM'!I90</f>
        <v>0</v>
      </c>
      <c r="AC87" s="80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117">
        <f>'Seznam OM'!J90</f>
        <v>0</v>
      </c>
      <c r="AP87" s="80">
        <v>6.3E-2</v>
      </c>
      <c r="AQ87" s="73">
        <v>5.7000000000000002E-2</v>
      </c>
      <c r="AR87" s="73">
        <v>5.0000000000000001E-3</v>
      </c>
      <c r="AS87" s="73">
        <v>0</v>
      </c>
      <c r="AT87" s="73">
        <v>0</v>
      </c>
      <c r="AU87" s="73">
        <v>0</v>
      </c>
      <c r="AV87" s="73">
        <v>0</v>
      </c>
      <c r="AW87" s="73">
        <v>0</v>
      </c>
      <c r="AX87" s="73">
        <v>0</v>
      </c>
      <c r="AY87" s="73">
        <v>0</v>
      </c>
      <c r="AZ87" s="73">
        <v>0</v>
      </c>
      <c r="BA87" s="121">
        <v>0</v>
      </c>
      <c r="BB87" s="126">
        <f t="shared" si="1"/>
        <v>0.125</v>
      </c>
      <c r="BD87">
        <f>VLOOKUP('Seznam OM'!C90,List1!$T$5:$AG$145,14,FALSE)</f>
        <v>6.4281000000000005E-2</v>
      </c>
    </row>
    <row r="88" spans="1:56" x14ac:dyDescent="0.3">
      <c r="A88" s="74" t="s">
        <v>108</v>
      </c>
      <c r="B88" s="85" t="s">
        <v>218</v>
      </c>
      <c r="C88" s="80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9">
        <f>'Seznam OM'!H91</f>
        <v>0</v>
      </c>
      <c r="P88" s="80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9">
        <f>'Seznam OM'!I91</f>
        <v>0</v>
      </c>
      <c r="AC88" s="80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117">
        <f>'Seznam OM'!J91</f>
        <v>0</v>
      </c>
      <c r="AP88" s="80">
        <v>1.2999999999999999E-2</v>
      </c>
      <c r="AQ88" s="73">
        <v>8.0000000000000002E-3</v>
      </c>
      <c r="AR88" s="73">
        <v>0</v>
      </c>
      <c r="AS88" s="73">
        <v>0</v>
      </c>
      <c r="AT88" s="73">
        <v>0</v>
      </c>
      <c r="AU88" s="73">
        <v>0</v>
      </c>
      <c r="AV88" s="73">
        <v>0</v>
      </c>
      <c r="AW88" s="73">
        <v>0</v>
      </c>
      <c r="AX88" s="73">
        <v>0</v>
      </c>
      <c r="AY88" s="73">
        <v>0</v>
      </c>
      <c r="AZ88" s="73">
        <v>0</v>
      </c>
      <c r="BA88" s="121">
        <v>0</v>
      </c>
      <c r="BB88" s="126">
        <f t="shared" si="1"/>
        <v>2.0999999999999998E-2</v>
      </c>
      <c r="BD88">
        <f>VLOOKUP('Seznam OM'!C91,List1!$T$5:$AG$145,14,FALSE)</f>
        <v>2.3E-2</v>
      </c>
    </row>
    <row r="89" spans="1:56" x14ac:dyDescent="0.3">
      <c r="A89" s="74" t="s">
        <v>108</v>
      </c>
      <c r="B89" s="85" t="s">
        <v>220</v>
      </c>
      <c r="C89" s="80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9">
        <f>'Seznam OM'!H92</f>
        <v>0</v>
      </c>
      <c r="P89" s="80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9">
        <f>'Seznam OM'!I92</f>
        <v>0</v>
      </c>
      <c r="AC89" s="80"/>
      <c r="AD89" s="73"/>
      <c r="AE89" s="73"/>
      <c r="AF89" s="73"/>
      <c r="AG89" s="73"/>
      <c r="AH89" s="73"/>
      <c r="AI89" s="73"/>
      <c r="AJ89" s="73"/>
      <c r="AK89" s="73"/>
      <c r="AL89" s="73"/>
      <c r="AM89" s="73"/>
      <c r="AN89" s="73"/>
      <c r="AO89" s="117">
        <f>'Seznam OM'!J92</f>
        <v>0</v>
      </c>
      <c r="AP89" s="80">
        <v>6.0000000000000001E-3</v>
      </c>
      <c r="AQ89" s="73">
        <v>2E-3</v>
      </c>
      <c r="AR89" s="73">
        <v>0</v>
      </c>
      <c r="AS89" s="73">
        <v>0</v>
      </c>
      <c r="AT89" s="73">
        <v>0</v>
      </c>
      <c r="AU89" s="73">
        <v>0</v>
      </c>
      <c r="AV89" s="73">
        <v>0</v>
      </c>
      <c r="AW89" s="73">
        <v>0</v>
      </c>
      <c r="AX89" s="73">
        <v>0</v>
      </c>
      <c r="AY89" s="73">
        <v>0</v>
      </c>
      <c r="AZ89" s="73">
        <v>0</v>
      </c>
      <c r="BA89" s="121">
        <v>0</v>
      </c>
      <c r="BB89" s="126">
        <f t="shared" si="1"/>
        <v>8.0000000000000002E-3</v>
      </c>
      <c r="BD89">
        <f>VLOOKUP('Seznam OM'!C92,List1!$T$5:$AG$145,14,FALSE)</f>
        <v>1.6277E-2</v>
      </c>
    </row>
    <row r="90" spans="1:56" x14ac:dyDescent="0.3">
      <c r="A90" s="74" t="s">
        <v>108</v>
      </c>
      <c r="B90" s="85" t="s">
        <v>222</v>
      </c>
      <c r="C90" s="80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9">
        <f>'Seznam OM'!H93</f>
        <v>0</v>
      </c>
      <c r="P90" s="80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9">
        <f>'Seznam OM'!I93</f>
        <v>0</v>
      </c>
      <c r="AC90" s="80"/>
      <c r="AD90" s="73"/>
      <c r="AE90" s="73"/>
      <c r="AF90" s="73"/>
      <c r="AG90" s="73"/>
      <c r="AH90" s="73"/>
      <c r="AI90" s="73"/>
      <c r="AJ90" s="73"/>
      <c r="AK90" s="73"/>
      <c r="AL90" s="73"/>
      <c r="AM90" s="73"/>
      <c r="AN90" s="73"/>
      <c r="AO90" s="117">
        <f>'Seznam OM'!J93</f>
        <v>0</v>
      </c>
      <c r="AP90" s="80">
        <v>5.0000000000000001E-3</v>
      </c>
      <c r="AQ90" s="73">
        <v>4.0000000000000001E-3</v>
      </c>
      <c r="AR90" s="73">
        <v>0</v>
      </c>
      <c r="AS90" s="73">
        <v>0</v>
      </c>
      <c r="AT90" s="73">
        <v>0</v>
      </c>
      <c r="AU90" s="73">
        <v>0</v>
      </c>
      <c r="AV90" s="73">
        <v>0</v>
      </c>
      <c r="AW90" s="73">
        <v>0</v>
      </c>
      <c r="AX90" s="73">
        <v>0</v>
      </c>
      <c r="AY90" s="73">
        <v>0</v>
      </c>
      <c r="AZ90" s="73">
        <v>0</v>
      </c>
      <c r="BA90" s="121">
        <v>0</v>
      </c>
      <c r="BB90" s="126">
        <f t="shared" si="1"/>
        <v>9.0000000000000011E-3</v>
      </c>
      <c r="BD90">
        <f>VLOOKUP('Seznam OM'!C93,List1!$T$5:$AG$145,14,FALSE)</f>
        <v>1.3925999999999999E-2</v>
      </c>
    </row>
    <row r="91" spans="1:56" x14ac:dyDescent="0.3">
      <c r="A91" s="74" t="s">
        <v>108</v>
      </c>
      <c r="B91" s="85" t="s">
        <v>224</v>
      </c>
      <c r="C91" s="80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9">
        <f>'Seznam OM'!H94</f>
        <v>0</v>
      </c>
      <c r="P91" s="80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9">
        <f>'Seznam OM'!I94</f>
        <v>0</v>
      </c>
      <c r="AC91" s="80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73"/>
      <c r="AO91" s="117">
        <f>'Seznam OM'!J94</f>
        <v>0</v>
      </c>
      <c r="AP91" s="80">
        <v>0</v>
      </c>
      <c r="AQ91" s="73">
        <v>0</v>
      </c>
      <c r="AR91" s="73">
        <v>0</v>
      </c>
      <c r="AS91" s="73">
        <v>0</v>
      </c>
      <c r="AT91" s="73">
        <v>0</v>
      </c>
      <c r="AU91" s="73">
        <v>0</v>
      </c>
      <c r="AV91" s="73">
        <v>0</v>
      </c>
      <c r="AW91" s="73">
        <v>0</v>
      </c>
      <c r="AX91" s="73">
        <v>0</v>
      </c>
      <c r="AY91" s="73">
        <v>0</v>
      </c>
      <c r="AZ91" s="73">
        <v>0</v>
      </c>
      <c r="BA91" s="121">
        <v>0</v>
      </c>
      <c r="BB91" s="126">
        <f t="shared" si="1"/>
        <v>0</v>
      </c>
      <c r="BD91" t="e">
        <f>VLOOKUP('Seznam OM'!C94,List1!$T$5:$AG$145,14,FALSE)</f>
        <v>#N/A</v>
      </c>
    </row>
    <row r="92" spans="1:56" x14ac:dyDescent="0.3">
      <c r="A92" s="74" t="s">
        <v>108</v>
      </c>
      <c r="B92" s="85" t="s">
        <v>226</v>
      </c>
      <c r="C92" s="80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9">
        <f>'Seznam OM'!H95</f>
        <v>0</v>
      </c>
      <c r="P92" s="80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9">
        <f>'Seznam OM'!I95</f>
        <v>0</v>
      </c>
      <c r="AC92" s="80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117">
        <f>'Seznam OM'!J95</f>
        <v>0</v>
      </c>
      <c r="AP92" s="80">
        <v>4.0000000000000001E-3</v>
      </c>
      <c r="AQ92" s="73">
        <v>4.0000000000000001E-3</v>
      </c>
      <c r="AR92" s="73">
        <v>2E-3</v>
      </c>
      <c r="AS92" s="73">
        <v>0</v>
      </c>
      <c r="AT92" s="73">
        <v>0</v>
      </c>
      <c r="AU92" s="73">
        <v>0</v>
      </c>
      <c r="AV92" s="73">
        <v>0</v>
      </c>
      <c r="AW92" s="73">
        <v>0</v>
      </c>
      <c r="AX92" s="73">
        <v>0</v>
      </c>
      <c r="AY92" s="73">
        <v>0</v>
      </c>
      <c r="AZ92" s="73">
        <v>0</v>
      </c>
      <c r="BA92" s="121">
        <v>0</v>
      </c>
      <c r="BB92" s="126">
        <f t="shared" si="1"/>
        <v>0.01</v>
      </c>
      <c r="BD92">
        <f>VLOOKUP('Seznam OM'!C95,List1!$T$5:$AG$145,14,FALSE)</f>
        <v>3.8639999999999998E-3</v>
      </c>
    </row>
    <row r="93" spans="1:56" x14ac:dyDescent="0.3">
      <c r="A93" s="74" t="s">
        <v>108</v>
      </c>
      <c r="B93" s="85" t="s">
        <v>228</v>
      </c>
      <c r="C93" s="80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81"/>
      <c r="P93" s="80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81"/>
      <c r="AC93" s="80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121"/>
      <c r="AP93" s="80">
        <v>5.0000000000000001E-3</v>
      </c>
      <c r="AQ93" s="73">
        <v>2E-3</v>
      </c>
      <c r="AR93" s="73">
        <v>0</v>
      </c>
      <c r="AS93" s="73">
        <v>0</v>
      </c>
      <c r="AT93" s="73">
        <v>0</v>
      </c>
      <c r="AU93" s="73">
        <v>0</v>
      </c>
      <c r="AV93" s="73">
        <v>0</v>
      </c>
      <c r="AW93" s="73">
        <v>0</v>
      </c>
      <c r="AX93" s="73">
        <v>0</v>
      </c>
      <c r="AY93" s="73">
        <v>0</v>
      </c>
      <c r="AZ93" s="73">
        <v>0</v>
      </c>
      <c r="BA93" s="121">
        <v>0</v>
      </c>
      <c r="BB93" s="126">
        <f t="shared" si="1"/>
        <v>7.0000000000000001E-3</v>
      </c>
      <c r="BD93">
        <f>VLOOKUP('Seznam OM'!C96,List1!$T$5:$AG$145,14,FALSE)</f>
        <v>2.6310000000000001E-3</v>
      </c>
    </row>
    <row r="94" spans="1:56" x14ac:dyDescent="0.3">
      <c r="A94" s="74" t="s">
        <v>44</v>
      </c>
      <c r="B94" s="85" t="s">
        <v>230</v>
      </c>
      <c r="C94" s="80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81"/>
      <c r="P94" s="80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81"/>
      <c r="AC94" s="80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121"/>
      <c r="AP94" s="80">
        <v>0</v>
      </c>
      <c r="AQ94" s="73">
        <v>0</v>
      </c>
      <c r="AR94" s="73">
        <v>0</v>
      </c>
      <c r="AS94" s="73">
        <v>0</v>
      </c>
      <c r="AT94" s="73">
        <v>0</v>
      </c>
      <c r="AU94" s="73">
        <v>0</v>
      </c>
      <c r="AV94" s="73">
        <v>0</v>
      </c>
      <c r="AW94" s="73">
        <v>0</v>
      </c>
      <c r="AX94" s="73">
        <v>0</v>
      </c>
      <c r="AY94" s="73">
        <v>0</v>
      </c>
      <c r="AZ94" s="73">
        <v>0</v>
      </c>
      <c r="BA94" s="121">
        <v>0</v>
      </c>
      <c r="BB94" s="126">
        <f t="shared" si="1"/>
        <v>0</v>
      </c>
      <c r="BD94" t="e">
        <f>VLOOKUP('Seznam OM'!C97,List1!$T$5:$AG$145,14,FALSE)</f>
        <v>#N/A</v>
      </c>
    </row>
    <row r="95" spans="1:56" ht="15" thickBot="1" x14ac:dyDescent="0.35">
      <c r="A95" s="91" t="s">
        <v>232</v>
      </c>
      <c r="B95" s="88" t="s">
        <v>233</v>
      </c>
      <c r="C95" s="82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4"/>
      <c r="P95" s="149"/>
      <c r="Q95" s="150"/>
      <c r="R95" s="150"/>
      <c r="S95" s="150"/>
      <c r="T95" s="150"/>
      <c r="U95" s="150"/>
      <c r="V95" s="150"/>
      <c r="W95" s="150"/>
      <c r="X95" s="150"/>
      <c r="Y95" s="150"/>
      <c r="Z95" s="150"/>
      <c r="AA95" s="150"/>
      <c r="AB95" s="151"/>
      <c r="AC95" s="82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123"/>
      <c r="AP95" s="82">
        <v>1.024</v>
      </c>
      <c r="AQ95" s="83">
        <v>0.83599999999999997</v>
      </c>
      <c r="AR95" s="83">
        <v>0.85899999999999999</v>
      </c>
      <c r="AS95" s="83">
        <v>0.72</v>
      </c>
      <c r="AT95" s="83">
        <v>0.371</v>
      </c>
      <c r="AU95" s="83">
        <v>0</v>
      </c>
      <c r="AV95" s="83">
        <v>0</v>
      </c>
      <c r="AW95" s="83">
        <v>0</v>
      </c>
      <c r="AX95" s="83">
        <v>0</v>
      </c>
      <c r="AY95" s="83">
        <v>0</v>
      </c>
      <c r="AZ95" s="83">
        <v>0</v>
      </c>
      <c r="BA95" s="123">
        <v>0</v>
      </c>
      <c r="BB95" s="127">
        <f t="shared" si="1"/>
        <v>3.81</v>
      </c>
      <c r="BD95">
        <f>VLOOKUP('Seznam OM'!C98,List1!$T$5:$AG$145,14,FALSE)</f>
        <v>0</v>
      </c>
    </row>
    <row r="96" spans="1:56" x14ac:dyDescent="0.3">
      <c r="A96" s="147" t="s">
        <v>44</v>
      </c>
      <c r="B96" s="147" t="s">
        <v>230</v>
      </c>
      <c r="C96" s="152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53"/>
      <c r="P96" s="152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53"/>
      <c r="AC96" s="152"/>
      <c r="AD96" s="120"/>
      <c r="AE96" s="120"/>
      <c r="AF96" s="120"/>
      <c r="AG96" s="120"/>
      <c r="AH96" s="120"/>
      <c r="AI96" s="120"/>
      <c r="AJ96" s="120"/>
      <c r="AK96" s="120"/>
      <c r="AL96" s="120"/>
      <c r="AM96" s="120"/>
      <c r="AN96" s="120"/>
      <c r="AO96" s="153"/>
      <c r="AP96" s="152"/>
      <c r="AQ96" s="120"/>
      <c r="AR96" s="120"/>
      <c r="AS96" s="120"/>
      <c r="AT96" s="120"/>
      <c r="AU96" s="120"/>
      <c r="AV96" s="120"/>
      <c r="AW96" s="120"/>
      <c r="AX96" s="120"/>
      <c r="AY96" s="120"/>
      <c r="AZ96" s="120"/>
      <c r="BA96" s="120"/>
      <c r="BB96" s="153"/>
    </row>
    <row r="97" spans="1:54" x14ac:dyDescent="0.3">
      <c r="A97" s="89" t="s">
        <v>232</v>
      </c>
      <c r="B97" s="89" t="s">
        <v>233</v>
      </c>
      <c r="C97" s="80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81"/>
      <c r="P97" s="80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81"/>
      <c r="AC97" s="80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81"/>
      <c r="AP97" s="80"/>
      <c r="AQ97" s="73"/>
      <c r="AR97" s="73"/>
      <c r="AS97" s="73"/>
      <c r="AT97" s="73"/>
      <c r="AU97" s="73"/>
      <c r="AV97" s="73"/>
      <c r="AW97" s="73"/>
      <c r="AX97" s="73"/>
      <c r="AY97" s="73"/>
      <c r="AZ97" s="73"/>
      <c r="BA97" s="73"/>
      <c r="BB97" s="81"/>
    </row>
    <row r="98" spans="1:54" x14ac:dyDescent="0.3">
      <c r="A98" s="89" t="s">
        <v>237</v>
      </c>
      <c r="B98" s="89" t="s">
        <v>238</v>
      </c>
      <c r="C98" s="80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81"/>
      <c r="P98" s="80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81"/>
      <c r="AC98" s="80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81"/>
      <c r="AP98" s="80"/>
      <c r="AQ98" s="73"/>
      <c r="AR98" s="73"/>
      <c r="AS98" s="73"/>
      <c r="AT98" s="73"/>
      <c r="AU98" s="73"/>
      <c r="AV98" s="73"/>
      <c r="AW98" s="73"/>
      <c r="AX98" s="73"/>
      <c r="AY98" s="73"/>
      <c r="AZ98" s="73"/>
      <c r="BA98" s="73"/>
      <c r="BB98" s="81"/>
    </row>
    <row r="99" spans="1:54" x14ac:dyDescent="0.3">
      <c r="A99" s="89" t="s">
        <v>237</v>
      </c>
      <c r="B99" s="89" t="s">
        <v>240</v>
      </c>
      <c r="C99" s="80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81"/>
      <c r="P99" s="80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81"/>
      <c r="AC99" s="80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81"/>
      <c r="AP99" s="80"/>
      <c r="AQ99" s="73"/>
      <c r="AR99" s="73"/>
      <c r="AS99" s="73"/>
      <c r="AT99" s="73"/>
      <c r="AU99" s="73"/>
      <c r="AV99" s="73"/>
      <c r="AW99" s="73"/>
      <c r="AX99" s="73"/>
      <c r="AY99" s="73"/>
      <c r="AZ99" s="73"/>
      <c r="BA99" s="73"/>
      <c r="BB99" s="81"/>
    </row>
    <row r="100" spans="1:54" x14ac:dyDescent="0.3">
      <c r="A100" s="89" t="s">
        <v>237</v>
      </c>
      <c r="B100" s="89" t="s">
        <v>242</v>
      </c>
      <c r="C100" s="80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81"/>
      <c r="P100" s="80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81"/>
      <c r="AC100" s="80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81"/>
      <c r="AP100" s="80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81"/>
    </row>
    <row r="101" spans="1:54" x14ac:dyDescent="0.3">
      <c r="A101" s="89" t="s">
        <v>237</v>
      </c>
      <c r="B101" s="89" t="s">
        <v>244</v>
      </c>
      <c r="C101" s="80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81"/>
      <c r="P101" s="80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81"/>
      <c r="AC101" s="80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81"/>
      <c r="AP101" s="80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73"/>
      <c r="BB101" s="81"/>
    </row>
    <row r="102" spans="1:54" x14ac:dyDescent="0.3">
      <c r="A102" s="89" t="s">
        <v>237</v>
      </c>
      <c r="B102" s="89" t="s">
        <v>246</v>
      </c>
      <c r="C102" s="80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81"/>
      <c r="P102" s="80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81"/>
      <c r="AC102" s="80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81"/>
      <c r="AP102" s="80"/>
      <c r="AQ102" s="73"/>
      <c r="AR102" s="73"/>
      <c r="AS102" s="73"/>
      <c r="AT102" s="73"/>
      <c r="AU102" s="73"/>
      <c r="AV102" s="73"/>
      <c r="AW102" s="73"/>
      <c r="AX102" s="73"/>
      <c r="AY102" s="73"/>
      <c r="AZ102" s="73"/>
      <c r="BA102" s="73"/>
      <c r="BB102" s="81"/>
    </row>
    <row r="103" spans="1:54" x14ac:dyDescent="0.3">
      <c r="A103" s="89" t="s">
        <v>237</v>
      </c>
      <c r="B103" s="89" t="s">
        <v>248</v>
      </c>
      <c r="C103" s="80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81"/>
      <c r="P103" s="80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81"/>
      <c r="AC103" s="80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81"/>
      <c r="AP103" s="80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81"/>
    </row>
    <row r="104" spans="1:54" x14ac:dyDescent="0.3">
      <c r="A104" s="89" t="s">
        <v>237</v>
      </c>
      <c r="B104" s="89" t="s">
        <v>250</v>
      </c>
      <c r="C104" s="80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81"/>
      <c r="P104" s="80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81"/>
      <c r="AC104" s="80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73"/>
      <c r="AO104" s="81"/>
      <c r="AP104" s="80"/>
      <c r="AQ104" s="73"/>
      <c r="AR104" s="73"/>
      <c r="AS104" s="73"/>
      <c r="AT104" s="73"/>
      <c r="AU104" s="73"/>
      <c r="AV104" s="73"/>
      <c r="AW104" s="73"/>
      <c r="AX104" s="73"/>
      <c r="AY104" s="73"/>
      <c r="AZ104" s="73"/>
      <c r="BA104" s="73"/>
      <c r="BB104" s="81"/>
    </row>
    <row r="105" spans="1:54" x14ac:dyDescent="0.3">
      <c r="A105" s="89" t="s">
        <v>237</v>
      </c>
      <c r="B105" s="89" t="s">
        <v>252</v>
      </c>
      <c r="C105" s="80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81"/>
      <c r="P105" s="80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81"/>
      <c r="AC105" s="80"/>
      <c r="AD105" s="73"/>
      <c r="AE105" s="73"/>
      <c r="AF105" s="73"/>
      <c r="AG105" s="73"/>
      <c r="AH105" s="73"/>
      <c r="AI105" s="73"/>
      <c r="AJ105" s="73"/>
      <c r="AK105" s="73"/>
      <c r="AL105" s="73"/>
      <c r="AM105" s="73"/>
      <c r="AN105" s="73"/>
      <c r="AO105" s="81"/>
      <c r="AP105" s="80"/>
      <c r="AQ105" s="73"/>
      <c r="AR105" s="73"/>
      <c r="AS105" s="73"/>
      <c r="AT105" s="73"/>
      <c r="AU105" s="73"/>
      <c r="AV105" s="73"/>
      <c r="AW105" s="73"/>
      <c r="AX105" s="73"/>
      <c r="AY105" s="73"/>
      <c r="AZ105" s="73"/>
      <c r="BA105" s="73"/>
      <c r="BB105" s="81"/>
    </row>
    <row r="106" spans="1:54" x14ac:dyDescent="0.3">
      <c r="A106" s="89" t="s">
        <v>237</v>
      </c>
      <c r="B106" s="89" t="s">
        <v>254</v>
      </c>
      <c r="C106" s="80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81"/>
      <c r="P106" s="80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81"/>
      <c r="AC106" s="80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81"/>
      <c r="AP106" s="80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81"/>
    </row>
    <row r="107" spans="1:54" x14ac:dyDescent="0.3">
      <c r="A107" s="89" t="s">
        <v>237</v>
      </c>
      <c r="B107" s="89" t="s">
        <v>256</v>
      </c>
      <c r="C107" s="80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81"/>
      <c r="P107" s="80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81"/>
      <c r="AC107" s="80"/>
      <c r="AD107" s="73"/>
      <c r="AE107" s="73"/>
      <c r="AF107" s="73"/>
      <c r="AG107" s="73"/>
      <c r="AH107" s="73"/>
      <c r="AI107" s="73"/>
      <c r="AJ107" s="73"/>
      <c r="AK107" s="73"/>
      <c r="AL107" s="73"/>
      <c r="AM107" s="73"/>
      <c r="AN107" s="73"/>
      <c r="AO107" s="81"/>
      <c r="AP107" s="80"/>
      <c r="AQ107" s="73"/>
      <c r="AR107" s="73"/>
      <c r="AS107" s="73"/>
      <c r="AT107" s="73"/>
      <c r="AU107" s="73"/>
      <c r="AV107" s="73"/>
      <c r="AW107" s="73"/>
      <c r="AX107" s="73"/>
      <c r="AY107" s="73"/>
      <c r="AZ107" s="73"/>
      <c r="BA107" s="73"/>
      <c r="BB107" s="81"/>
    </row>
    <row r="108" spans="1:54" x14ac:dyDescent="0.3">
      <c r="A108" s="89" t="s">
        <v>237</v>
      </c>
      <c r="B108" s="89" t="s">
        <v>258</v>
      </c>
      <c r="C108" s="80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81"/>
      <c r="P108" s="80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81"/>
      <c r="AC108" s="80"/>
      <c r="AD108" s="73"/>
      <c r="AE108" s="73"/>
      <c r="AF108" s="73"/>
      <c r="AG108" s="73"/>
      <c r="AH108" s="73"/>
      <c r="AI108" s="73"/>
      <c r="AJ108" s="73"/>
      <c r="AK108" s="73"/>
      <c r="AL108" s="73"/>
      <c r="AM108" s="73"/>
      <c r="AN108" s="73"/>
      <c r="AO108" s="81"/>
      <c r="AP108" s="80"/>
      <c r="AQ108" s="73"/>
      <c r="AR108" s="73"/>
      <c r="AS108" s="73"/>
      <c r="AT108" s="73"/>
      <c r="AU108" s="73"/>
      <c r="AV108" s="73"/>
      <c r="AW108" s="73"/>
      <c r="AX108" s="73"/>
      <c r="AY108" s="73"/>
      <c r="AZ108" s="73"/>
      <c r="BA108" s="73"/>
      <c r="BB108" s="81"/>
    </row>
    <row r="109" spans="1:54" x14ac:dyDescent="0.3">
      <c r="A109" s="89" t="s">
        <v>237</v>
      </c>
      <c r="B109" s="89" t="s">
        <v>260</v>
      </c>
      <c r="C109" s="80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81"/>
      <c r="P109" s="80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81"/>
      <c r="AC109" s="80"/>
      <c r="AD109" s="73"/>
      <c r="AE109" s="73"/>
      <c r="AF109" s="73"/>
      <c r="AG109" s="73"/>
      <c r="AH109" s="73"/>
      <c r="AI109" s="73"/>
      <c r="AJ109" s="73"/>
      <c r="AK109" s="73"/>
      <c r="AL109" s="73"/>
      <c r="AM109" s="73"/>
      <c r="AN109" s="73"/>
      <c r="AO109" s="81"/>
      <c r="AP109" s="80"/>
      <c r="AQ109" s="73"/>
      <c r="AR109" s="73"/>
      <c r="AS109" s="73"/>
      <c r="AT109" s="73"/>
      <c r="AU109" s="73"/>
      <c r="AV109" s="73"/>
      <c r="AW109" s="73"/>
      <c r="AX109" s="73"/>
      <c r="AY109" s="73"/>
      <c r="AZ109" s="73"/>
      <c r="BA109" s="73"/>
      <c r="BB109" s="81"/>
    </row>
    <row r="110" spans="1:54" x14ac:dyDescent="0.3">
      <c r="A110" s="89" t="s">
        <v>237</v>
      </c>
      <c r="B110" s="89" t="s">
        <v>262</v>
      </c>
      <c r="C110" s="80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81"/>
      <c r="P110" s="80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81"/>
      <c r="AC110" s="80"/>
      <c r="AD110" s="73"/>
      <c r="AE110" s="73"/>
      <c r="AF110" s="73"/>
      <c r="AG110" s="73"/>
      <c r="AH110" s="73"/>
      <c r="AI110" s="73"/>
      <c r="AJ110" s="73"/>
      <c r="AK110" s="73"/>
      <c r="AL110" s="73"/>
      <c r="AM110" s="73"/>
      <c r="AN110" s="73"/>
      <c r="AO110" s="81"/>
      <c r="AP110" s="80"/>
      <c r="AQ110" s="73"/>
      <c r="AR110" s="73"/>
      <c r="AS110" s="73"/>
      <c r="AT110" s="73"/>
      <c r="AU110" s="73"/>
      <c r="AV110" s="73"/>
      <c r="AW110" s="73"/>
      <c r="AX110" s="73"/>
      <c r="AY110" s="73"/>
      <c r="AZ110" s="73"/>
      <c r="BA110" s="73"/>
      <c r="BB110" s="81"/>
    </row>
    <row r="111" spans="1:54" x14ac:dyDescent="0.3">
      <c r="A111" s="89" t="s">
        <v>237</v>
      </c>
      <c r="B111" s="89" t="s">
        <v>264</v>
      </c>
      <c r="C111" s="80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81"/>
      <c r="P111" s="80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81"/>
      <c r="AC111" s="80"/>
      <c r="AD111" s="73"/>
      <c r="AE111" s="73"/>
      <c r="AF111" s="73"/>
      <c r="AG111" s="73"/>
      <c r="AH111" s="73"/>
      <c r="AI111" s="73"/>
      <c r="AJ111" s="73"/>
      <c r="AK111" s="73"/>
      <c r="AL111" s="73"/>
      <c r="AM111" s="73"/>
      <c r="AN111" s="73"/>
      <c r="AO111" s="81"/>
      <c r="AP111" s="80"/>
      <c r="AQ111" s="73"/>
      <c r="AR111" s="73"/>
      <c r="AS111" s="73"/>
      <c r="AT111" s="73"/>
      <c r="AU111" s="73"/>
      <c r="AV111" s="73"/>
      <c r="AW111" s="73"/>
      <c r="AX111" s="73"/>
      <c r="AY111" s="73"/>
      <c r="AZ111" s="73"/>
      <c r="BA111" s="73"/>
      <c r="BB111" s="81"/>
    </row>
    <row r="112" spans="1:54" x14ac:dyDescent="0.3">
      <c r="A112" s="89" t="s">
        <v>237</v>
      </c>
      <c r="B112" s="89" t="s">
        <v>266</v>
      </c>
      <c r="C112" s="80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81"/>
      <c r="P112" s="80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81"/>
      <c r="AC112" s="80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81"/>
      <c r="AP112" s="80"/>
      <c r="AQ112" s="73"/>
      <c r="AR112" s="73"/>
      <c r="AS112" s="73"/>
      <c r="AT112" s="73"/>
      <c r="AU112" s="73"/>
      <c r="AV112" s="73"/>
      <c r="AW112" s="73"/>
      <c r="AX112" s="73"/>
      <c r="AY112" s="73"/>
      <c r="AZ112" s="73"/>
      <c r="BA112" s="73"/>
      <c r="BB112" s="81"/>
    </row>
    <row r="113" spans="1:54" x14ac:dyDescent="0.3">
      <c r="A113" s="89" t="s">
        <v>237</v>
      </c>
      <c r="B113" s="89" t="s">
        <v>268</v>
      </c>
      <c r="C113" s="80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81"/>
      <c r="P113" s="80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81"/>
      <c r="AC113" s="80"/>
      <c r="AD113" s="73"/>
      <c r="AE113" s="73"/>
      <c r="AF113" s="73"/>
      <c r="AG113" s="73"/>
      <c r="AH113" s="73"/>
      <c r="AI113" s="73"/>
      <c r="AJ113" s="73"/>
      <c r="AK113" s="73"/>
      <c r="AL113" s="73"/>
      <c r="AM113" s="73"/>
      <c r="AN113" s="73"/>
      <c r="AO113" s="81"/>
      <c r="AP113" s="80"/>
      <c r="AQ113" s="73"/>
      <c r="AR113" s="73"/>
      <c r="AS113" s="73"/>
      <c r="AT113" s="73"/>
      <c r="AU113" s="73"/>
      <c r="AV113" s="73"/>
      <c r="AW113" s="73"/>
      <c r="AX113" s="73"/>
      <c r="AY113" s="73"/>
      <c r="AZ113" s="73"/>
      <c r="BA113" s="73"/>
      <c r="BB113" s="81"/>
    </row>
    <row r="114" spans="1:54" x14ac:dyDescent="0.3">
      <c r="A114" s="89" t="s">
        <v>237</v>
      </c>
      <c r="B114" s="89" t="s">
        <v>270</v>
      </c>
      <c r="C114" s="80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81"/>
      <c r="P114" s="80"/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73"/>
      <c r="AB114" s="81"/>
      <c r="AC114" s="80"/>
      <c r="AD114" s="73"/>
      <c r="AE114" s="73"/>
      <c r="AF114" s="73"/>
      <c r="AG114" s="73"/>
      <c r="AH114" s="73"/>
      <c r="AI114" s="73"/>
      <c r="AJ114" s="73"/>
      <c r="AK114" s="73"/>
      <c r="AL114" s="73"/>
      <c r="AM114" s="73"/>
      <c r="AN114" s="73"/>
      <c r="AO114" s="81"/>
      <c r="AP114" s="80"/>
      <c r="AQ114" s="73"/>
      <c r="AR114" s="73"/>
      <c r="AS114" s="73"/>
      <c r="AT114" s="73"/>
      <c r="AU114" s="73"/>
      <c r="AV114" s="73"/>
      <c r="AW114" s="73"/>
      <c r="AX114" s="73"/>
      <c r="AY114" s="73"/>
      <c r="AZ114" s="73"/>
      <c r="BA114" s="73"/>
      <c r="BB114" s="81"/>
    </row>
    <row r="115" spans="1:54" x14ac:dyDescent="0.3">
      <c r="A115" s="89" t="s">
        <v>237</v>
      </c>
      <c r="B115" s="89" t="s">
        <v>272</v>
      </c>
      <c r="C115" s="80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81"/>
      <c r="P115" s="80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81"/>
      <c r="AC115" s="80"/>
      <c r="AD115" s="73"/>
      <c r="AE115" s="73"/>
      <c r="AF115" s="73"/>
      <c r="AG115" s="73"/>
      <c r="AH115" s="73"/>
      <c r="AI115" s="73"/>
      <c r="AJ115" s="73"/>
      <c r="AK115" s="73"/>
      <c r="AL115" s="73"/>
      <c r="AM115" s="73"/>
      <c r="AN115" s="73"/>
      <c r="AO115" s="81"/>
      <c r="AP115" s="80"/>
      <c r="AQ115" s="73"/>
      <c r="AR115" s="73"/>
      <c r="AS115" s="73"/>
      <c r="AT115" s="73"/>
      <c r="AU115" s="73"/>
      <c r="AV115" s="73"/>
      <c r="AW115" s="73"/>
      <c r="AX115" s="73"/>
      <c r="AY115" s="73"/>
      <c r="AZ115" s="73"/>
      <c r="BA115" s="73"/>
      <c r="BB115" s="81"/>
    </row>
    <row r="116" spans="1:54" x14ac:dyDescent="0.3">
      <c r="A116" s="89" t="s">
        <v>237</v>
      </c>
      <c r="B116" s="89" t="s">
        <v>274</v>
      </c>
      <c r="C116" s="80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81"/>
      <c r="P116" s="80"/>
      <c r="Q116" s="73"/>
      <c r="R116" s="73"/>
      <c r="S116" s="73"/>
      <c r="T116" s="73"/>
      <c r="U116" s="73"/>
      <c r="V116" s="73"/>
      <c r="W116" s="73"/>
      <c r="X116" s="73"/>
      <c r="Y116" s="73"/>
      <c r="Z116" s="73"/>
      <c r="AA116" s="73"/>
      <c r="AB116" s="81"/>
      <c r="AC116" s="80"/>
      <c r="AD116" s="73"/>
      <c r="AE116" s="73"/>
      <c r="AF116" s="73"/>
      <c r="AG116" s="73"/>
      <c r="AH116" s="73"/>
      <c r="AI116" s="73"/>
      <c r="AJ116" s="73"/>
      <c r="AK116" s="73"/>
      <c r="AL116" s="73"/>
      <c r="AM116" s="73"/>
      <c r="AN116" s="73"/>
      <c r="AO116" s="81"/>
      <c r="AP116" s="80"/>
      <c r="AQ116" s="73"/>
      <c r="AR116" s="73"/>
      <c r="AS116" s="73"/>
      <c r="AT116" s="73"/>
      <c r="AU116" s="73"/>
      <c r="AV116" s="73"/>
      <c r="AW116" s="73"/>
      <c r="AX116" s="73"/>
      <c r="AY116" s="73"/>
      <c r="AZ116" s="73"/>
      <c r="BA116" s="73"/>
      <c r="BB116" s="81"/>
    </row>
    <row r="117" spans="1:54" x14ac:dyDescent="0.3">
      <c r="A117" s="89" t="s">
        <v>237</v>
      </c>
      <c r="B117" s="89" t="s">
        <v>276</v>
      </c>
      <c r="C117" s="80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81"/>
      <c r="P117" s="80"/>
      <c r="Q117" s="73"/>
      <c r="R117" s="73"/>
      <c r="S117" s="73"/>
      <c r="T117" s="73"/>
      <c r="U117" s="73"/>
      <c r="V117" s="73"/>
      <c r="W117" s="73"/>
      <c r="X117" s="73"/>
      <c r="Y117" s="73"/>
      <c r="Z117" s="73"/>
      <c r="AA117" s="73"/>
      <c r="AB117" s="81"/>
      <c r="AC117" s="80"/>
      <c r="AD117" s="73"/>
      <c r="AE117" s="73"/>
      <c r="AF117" s="73"/>
      <c r="AG117" s="73"/>
      <c r="AH117" s="73"/>
      <c r="AI117" s="73"/>
      <c r="AJ117" s="73"/>
      <c r="AK117" s="73"/>
      <c r="AL117" s="73"/>
      <c r="AM117" s="73"/>
      <c r="AN117" s="73"/>
      <c r="AO117" s="81"/>
      <c r="AP117" s="80"/>
      <c r="AQ117" s="73"/>
      <c r="AR117" s="73"/>
      <c r="AS117" s="73"/>
      <c r="AT117" s="73"/>
      <c r="AU117" s="73"/>
      <c r="AV117" s="73"/>
      <c r="AW117" s="73"/>
      <c r="AX117" s="73"/>
      <c r="AY117" s="73"/>
      <c r="AZ117" s="73"/>
      <c r="BA117" s="73"/>
      <c r="BB117" s="81"/>
    </row>
    <row r="118" spans="1:54" x14ac:dyDescent="0.3">
      <c r="A118" s="89" t="s">
        <v>237</v>
      </c>
      <c r="B118" s="89" t="s">
        <v>278</v>
      </c>
      <c r="C118" s="80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81"/>
      <c r="P118" s="80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81"/>
      <c r="AC118" s="80"/>
      <c r="AD118" s="73"/>
      <c r="AE118" s="73"/>
      <c r="AF118" s="73"/>
      <c r="AG118" s="73"/>
      <c r="AH118" s="73"/>
      <c r="AI118" s="73"/>
      <c r="AJ118" s="73"/>
      <c r="AK118" s="73"/>
      <c r="AL118" s="73"/>
      <c r="AM118" s="73"/>
      <c r="AN118" s="73"/>
      <c r="AO118" s="81"/>
      <c r="AP118" s="80"/>
      <c r="AQ118" s="73"/>
      <c r="AR118" s="73"/>
      <c r="AS118" s="73"/>
      <c r="AT118" s="73"/>
      <c r="AU118" s="73"/>
      <c r="AV118" s="73"/>
      <c r="AW118" s="73"/>
      <c r="AX118" s="73"/>
      <c r="AY118" s="73"/>
      <c r="AZ118" s="73"/>
      <c r="BA118" s="73"/>
      <c r="BB118" s="81"/>
    </row>
    <row r="119" spans="1:54" x14ac:dyDescent="0.3">
      <c r="A119" s="89" t="s">
        <v>237</v>
      </c>
      <c r="B119" s="89" t="s">
        <v>280</v>
      </c>
      <c r="C119" s="80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81"/>
      <c r="P119" s="80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81"/>
      <c r="AC119" s="80"/>
      <c r="AD119" s="73"/>
      <c r="AE119" s="73"/>
      <c r="AF119" s="73"/>
      <c r="AG119" s="73"/>
      <c r="AH119" s="73"/>
      <c r="AI119" s="73"/>
      <c r="AJ119" s="73"/>
      <c r="AK119" s="73"/>
      <c r="AL119" s="73"/>
      <c r="AM119" s="73"/>
      <c r="AN119" s="73"/>
      <c r="AO119" s="81"/>
      <c r="AP119" s="80"/>
      <c r="AQ119" s="73"/>
      <c r="AR119" s="73"/>
      <c r="AS119" s="73"/>
      <c r="AT119" s="73"/>
      <c r="AU119" s="73"/>
      <c r="AV119" s="73"/>
      <c r="AW119" s="73"/>
      <c r="AX119" s="73"/>
      <c r="AY119" s="73"/>
      <c r="AZ119" s="73"/>
      <c r="BA119" s="73"/>
      <c r="BB119" s="81"/>
    </row>
    <row r="120" spans="1:54" x14ac:dyDescent="0.3">
      <c r="A120" s="89" t="s">
        <v>237</v>
      </c>
      <c r="B120" s="89" t="s">
        <v>282</v>
      </c>
      <c r="C120" s="80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81"/>
      <c r="P120" s="80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81"/>
      <c r="AC120" s="80"/>
      <c r="AD120" s="73"/>
      <c r="AE120" s="73"/>
      <c r="AF120" s="73"/>
      <c r="AG120" s="73"/>
      <c r="AH120" s="73"/>
      <c r="AI120" s="73"/>
      <c r="AJ120" s="73"/>
      <c r="AK120" s="73"/>
      <c r="AL120" s="73"/>
      <c r="AM120" s="73"/>
      <c r="AN120" s="73"/>
      <c r="AO120" s="81"/>
      <c r="AP120" s="80"/>
      <c r="AQ120" s="73"/>
      <c r="AR120" s="73"/>
      <c r="AS120" s="73"/>
      <c r="AT120" s="73"/>
      <c r="AU120" s="73"/>
      <c r="AV120" s="73"/>
      <c r="AW120" s="73"/>
      <c r="AX120" s="73"/>
      <c r="AY120" s="73"/>
      <c r="AZ120" s="73"/>
      <c r="BA120" s="73"/>
      <c r="BB120" s="81"/>
    </row>
    <row r="121" spans="1:54" x14ac:dyDescent="0.3">
      <c r="A121" s="89" t="s">
        <v>237</v>
      </c>
      <c r="B121" s="89" t="s">
        <v>284</v>
      </c>
      <c r="C121" s="80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81"/>
      <c r="P121" s="80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81"/>
      <c r="AC121" s="80"/>
      <c r="AD121" s="73"/>
      <c r="AE121" s="73"/>
      <c r="AF121" s="73"/>
      <c r="AG121" s="73"/>
      <c r="AH121" s="73"/>
      <c r="AI121" s="73"/>
      <c r="AJ121" s="73"/>
      <c r="AK121" s="73"/>
      <c r="AL121" s="73"/>
      <c r="AM121" s="73"/>
      <c r="AN121" s="73"/>
      <c r="AO121" s="81"/>
      <c r="AP121" s="80"/>
      <c r="AQ121" s="73"/>
      <c r="AR121" s="73"/>
      <c r="AS121" s="73"/>
      <c r="AT121" s="73"/>
      <c r="AU121" s="73"/>
      <c r="AV121" s="73"/>
      <c r="AW121" s="73"/>
      <c r="AX121" s="73"/>
      <c r="AY121" s="73"/>
      <c r="AZ121" s="73"/>
      <c r="BA121" s="73"/>
      <c r="BB121" s="81"/>
    </row>
    <row r="122" spans="1:54" x14ac:dyDescent="0.3">
      <c r="A122" s="89" t="s">
        <v>237</v>
      </c>
      <c r="B122" s="89" t="s">
        <v>286</v>
      </c>
      <c r="C122" s="80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81"/>
      <c r="P122" s="80"/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81"/>
      <c r="AC122" s="80"/>
      <c r="AD122" s="73"/>
      <c r="AE122" s="73"/>
      <c r="AF122" s="73"/>
      <c r="AG122" s="73"/>
      <c r="AH122" s="73"/>
      <c r="AI122" s="73"/>
      <c r="AJ122" s="73"/>
      <c r="AK122" s="73"/>
      <c r="AL122" s="73"/>
      <c r="AM122" s="73"/>
      <c r="AN122" s="73"/>
      <c r="AO122" s="81"/>
      <c r="AP122" s="80"/>
      <c r="AQ122" s="73"/>
      <c r="AR122" s="73"/>
      <c r="AS122" s="73"/>
      <c r="AT122" s="73"/>
      <c r="AU122" s="73"/>
      <c r="AV122" s="73"/>
      <c r="AW122" s="73"/>
      <c r="AX122" s="73"/>
      <c r="AY122" s="73"/>
      <c r="AZ122" s="73"/>
      <c r="BA122" s="73"/>
      <c r="BB122" s="81"/>
    </row>
    <row r="123" spans="1:54" x14ac:dyDescent="0.3">
      <c r="A123" s="89" t="s">
        <v>237</v>
      </c>
      <c r="B123" s="89" t="s">
        <v>288</v>
      </c>
      <c r="C123" s="80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81"/>
      <c r="P123" s="80"/>
      <c r="Q123" s="73"/>
      <c r="R123" s="73"/>
      <c r="S123" s="73"/>
      <c r="T123" s="73"/>
      <c r="U123" s="73"/>
      <c r="V123" s="73"/>
      <c r="W123" s="73"/>
      <c r="X123" s="73"/>
      <c r="Y123" s="73"/>
      <c r="Z123" s="73"/>
      <c r="AA123" s="73"/>
      <c r="AB123" s="81"/>
      <c r="AC123" s="80"/>
      <c r="AD123" s="73"/>
      <c r="AE123" s="73"/>
      <c r="AF123" s="73"/>
      <c r="AG123" s="73"/>
      <c r="AH123" s="73"/>
      <c r="AI123" s="73"/>
      <c r="AJ123" s="73"/>
      <c r="AK123" s="73"/>
      <c r="AL123" s="73"/>
      <c r="AM123" s="73"/>
      <c r="AN123" s="73"/>
      <c r="AO123" s="81"/>
      <c r="AP123" s="80"/>
      <c r="AQ123" s="73"/>
      <c r="AR123" s="73"/>
      <c r="AS123" s="73"/>
      <c r="AT123" s="73"/>
      <c r="AU123" s="73"/>
      <c r="AV123" s="73"/>
      <c r="AW123" s="73"/>
      <c r="AX123" s="73"/>
      <c r="AY123" s="73"/>
      <c r="AZ123" s="73"/>
      <c r="BA123" s="73"/>
      <c r="BB123" s="81"/>
    </row>
    <row r="124" spans="1:54" x14ac:dyDescent="0.3">
      <c r="A124" s="89" t="s">
        <v>237</v>
      </c>
      <c r="B124" s="89" t="s">
        <v>290</v>
      </c>
      <c r="C124" s="80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81"/>
      <c r="P124" s="80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81"/>
      <c r="AC124" s="80"/>
      <c r="AD124" s="73"/>
      <c r="AE124" s="73"/>
      <c r="AF124" s="73"/>
      <c r="AG124" s="73"/>
      <c r="AH124" s="73"/>
      <c r="AI124" s="73"/>
      <c r="AJ124" s="73"/>
      <c r="AK124" s="73"/>
      <c r="AL124" s="73"/>
      <c r="AM124" s="73"/>
      <c r="AN124" s="73"/>
      <c r="AO124" s="81"/>
      <c r="AP124" s="80"/>
      <c r="AQ124" s="73"/>
      <c r="AR124" s="73"/>
      <c r="AS124" s="73"/>
      <c r="AT124" s="73"/>
      <c r="AU124" s="73"/>
      <c r="AV124" s="73"/>
      <c r="AW124" s="73"/>
      <c r="AX124" s="73"/>
      <c r="AY124" s="73"/>
      <c r="AZ124" s="73"/>
      <c r="BA124" s="73"/>
      <c r="BB124" s="81"/>
    </row>
    <row r="125" spans="1:54" x14ac:dyDescent="0.3">
      <c r="A125" s="89" t="s">
        <v>237</v>
      </c>
      <c r="B125" s="89" t="s">
        <v>292</v>
      </c>
      <c r="C125" s="80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81"/>
      <c r="P125" s="80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81"/>
      <c r="AC125" s="80"/>
      <c r="AD125" s="73"/>
      <c r="AE125" s="73"/>
      <c r="AF125" s="73"/>
      <c r="AG125" s="73"/>
      <c r="AH125" s="73"/>
      <c r="AI125" s="73"/>
      <c r="AJ125" s="73"/>
      <c r="AK125" s="73"/>
      <c r="AL125" s="73"/>
      <c r="AM125" s="73"/>
      <c r="AN125" s="73"/>
      <c r="AO125" s="81"/>
      <c r="AP125" s="80"/>
      <c r="AQ125" s="73"/>
      <c r="AR125" s="73"/>
      <c r="AS125" s="73"/>
      <c r="AT125" s="73"/>
      <c r="AU125" s="73"/>
      <c r="AV125" s="73"/>
      <c r="AW125" s="73"/>
      <c r="AX125" s="73"/>
      <c r="AY125" s="73"/>
      <c r="AZ125" s="73"/>
      <c r="BA125" s="73"/>
      <c r="BB125" s="81"/>
    </row>
    <row r="126" spans="1:54" x14ac:dyDescent="0.3">
      <c r="A126" s="89" t="s">
        <v>237</v>
      </c>
      <c r="B126" s="89" t="s">
        <v>294</v>
      </c>
      <c r="C126" s="80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81"/>
      <c r="P126" s="80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81"/>
      <c r="AC126" s="80"/>
      <c r="AD126" s="73"/>
      <c r="AE126" s="73"/>
      <c r="AF126" s="73"/>
      <c r="AG126" s="73"/>
      <c r="AH126" s="73"/>
      <c r="AI126" s="73"/>
      <c r="AJ126" s="73"/>
      <c r="AK126" s="73"/>
      <c r="AL126" s="73"/>
      <c r="AM126" s="73"/>
      <c r="AN126" s="73"/>
      <c r="AO126" s="81"/>
      <c r="AP126" s="80"/>
      <c r="AQ126" s="73"/>
      <c r="AR126" s="73"/>
      <c r="AS126" s="73"/>
      <c r="AT126" s="73"/>
      <c r="AU126" s="73"/>
      <c r="AV126" s="73"/>
      <c r="AW126" s="73"/>
      <c r="AX126" s="73"/>
      <c r="AY126" s="73"/>
      <c r="AZ126" s="73"/>
      <c r="BA126" s="73"/>
      <c r="BB126" s="81"/>
    </row>
    <row r="127" spans="1:54" x14ac:dyDescent="0.3">
      <c r="A127" s="89" t="s">
        <v>237</v>
      </c>
      <c r="B127" s="89" t="s">
        <v>296</v>
      </c>
      <c r="C127" s="80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81"/>
      <c r="P127" s="80"/>
      <c r="Q127" s="73"/>
      <c r="R127" s="73"/>
      <c r="S127" s="73"/>
      <c r="T127" s="73"/>
      <c r="U127" s="73"/>
      <c r="V127" s="73"/>
      <c r="W127" s="73"/>
      <c r="X127" s="73"/>
      <c r="Y127" s="73"/>
      <c r="Z127" s="73"/>
      <c r="AA127" s="73"/>
      <c r="AB127" s="81"/>
      <c r="AC127" s="80"/>
      <c r="AD127" s="73"/>
      <c r="AE127" s="73"/>
      <c r="AF127" s="73"/>
      <c r="AG127" s="73"/>
      <c r="AH127" s="73"/>
      <c r="AI127" s="73"/>
      <c r="AJ127" s="73"/>
      <c r="AK127" s="73"/>
      <c r="AL127" s="73"/>
      <c r="AM127" s="73"/>
      <c r="AN127" s="73"/>
      <c r="AO127" s="81"/>
      <c r="AP127" s="80"/>
      <c r="AQ127" s="73"/>
      <c r="AR127" s="73"/>
      <c r="AS127" s="73"/>
      <c r="AT127" s="73"/>
      <c r="AU127" s="73"/>
      <c r="AV127" s="73"/>
      <c r="AW127" s="73"/>
      <c r="AX127" s="73"/>
      <c r="AY127" s="73"/>
      <c r="AZ127" s="73"/>
      <c r="BA127" s="73"/>
      <c r="BB127" s="81"/>
    </row>
    <row r="128" spans="1:54" x14ac:dyDescent="0.3">
      <c r="A128" s="89" t="s">
        <v>237</v>
      </c>
      <c r="B128" s="89" t="s">
        <v>298</v>
      </c>
      <c r="C128" s="80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81"/>
      <c r="P128" s="80"/>
      <c r="Q128" s="73"/>
      <c r="R128" s="73"/>
      <c r="S128" s="73"/>
      <c r="T128" s="73"/>
      <c r="U128" s="73"/>
      <c r="V128" s="73"/>
      <c r="W128" s="73"/>
      <c r="X128" s="73"/>
      <c r="Y128" s="73"/>
      <c r="Z128" s="73"/>
      <c r="AA128" s="73"/>
      <c r="AB128" s="81"/>
      <c r="AC128" s="80"/>
      <c r="AD128" s="73"/>
      <c r="AE128" s="73"/>
      <c r="AF128" s="73"/>
      <c r="AG128" s="73"/>
      <c r="AH128" s="73"/>
      <c r="AI128" s="73"/>
      <c r="AJ128" s="73"/>
      <c r="AK128" s="73"/>
      <c r="AL128" s="73"/>
      <c r="AM128" s="73"/>
      <c r="AN128" s="73"/>
      <c r="AO128" s="81"/>
      <c r="AP128" s="80"/>
      <c r="AQ128" s="73"/>
      <c r="AR128" s="73"/>
      <c r="AS128" s="73"/>
      <c r="AT128" s="73"/>
      <c r="AU128" s="73"/>
      <c r="AV128" s="73"/>
      <c r="AW128" s="73"/>
      <c r="AX128" s="73"/>
      <c r="AY128" s="73"/>
      <c r="AZ128" s="73"/>
      <c r="BA128" s="73"/>
      <c r="BB128" s="81"/>
    </row>
    <row r="129" spans="1:54" x14ac:dyDescent="0.3">
      <c r="A129" s="89" t="s">
        <v>237</v>
      </c>
      <c r="B129" s="89" t="s">
        <v>300</v>
      </c>
      <c r="C129" s="80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81"/>
      <c r="P129" s="80"/>
      <c r="Q129" s="73"/>
      <c r="R129" s="73"/>
      <c r="S129" s="73"/>
      <c r="T129" s="73"/>
      <c r="U129" s="73"/>
      <c r="V129" s="73"/>
      <c r="W129" s="73"/>
      <c r="X129" s="73"/>
      <c r="Y129" s="73"/>
      <c r="Z129" s="73"/>
      <c r="AA129" s="73"/>
      <c r="AB129" s="81"/>
      <c r="AC129" s="80"/>
      <c r="AD129" s="73"/>
      <c r="AE129" s="73"/>
      <c r="AF129" s="73"/>
      <c r="AG129" s="73"/>
      <c r="AH129" s="73"/>
      <c r="AI129" s="73"/>
      <c r="AJ129" s="73"/>
      <c r="AK129" s="73"/>
      <c r="AL129" s="73"/>
      <c r="AM129" s="73"/>
      <c r="AN129" s="73"/>
      <c r="AO129" s="81"/>
      <c r="AP129" s="80"/>
      <c r="AQ129" s="73"/>
      <c r="AR129" s="73"/>
      <c r="AS129" s="73"/>
      <c r="AT129" s="73"/>
      <c r="AU129" s="73"/>
      <c r="AV129" s="73"/>
      <c r="AW129" s="73"/>
      <c r="AX129" s="73"/>
      <c r="AY129" s="73"/>
      <c r="AZ129" s="73"/>
      <c r="BA129" s="73"/>
      <c r="BB129" s="81"/>
    </row>
    <row r="130" spans="1:54" x14ac:dyDescent="0.3">
      <c r="A130" s="89" t="s">
        <v>237</v>
      </c>
      <c r="B130" s="89" t="s">
        <v>302</v>
      </c>
      <c r="C130" s="80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81"/>
      <c r="P130" s="80"/>
      <c r="Q130" s="73"/>
      <c r="R130" s="73"/>
      <c r="S130" s="73"/>
      <c r="T130" s="73"/>
      <c r="U130" s="73"/>
      <c r="V130" s="73"/>
      <c r="W130" s="73"/>
      <c r="X130" s="73"/>
      <c r="Y130" s="73"/>
      <c r="Z130" s="73"/>
      <c r="AA130" s="73"/>
      <c r="AB130" s="81"/>
      <c r="AC130" s="80"/>
      <c r="AD130" s="73"/>
      <c r="AE130" s="73"/>
      <c r="AF130" s="73"/>
      <c r="AG130" s="73"/>
      <c r="AH130" s="73"/>
      <c r="AI130" s="73"/>
      <c r="AJ130" s="73"/>
      <c r="AK130" s="73"/>
      <c r="AL130" s="73"/>
      <c r="AM130" s="73"/>
      <c r="AN130" s="73"/>
      <c r="AO130" s="81"/>
      <c r="AP130" s="80"/>
      <c r="AQ130" s="73"/>
      <c r="AR130" s="73"/>
      <c r="AS130" s="73"/>
      <c r="AT130" s="73"/>
      <c r="AU130" s="73"/>
      <c r="AV130" s="73"/>
      <c r="AW130" s="73"/>
      <c r="AX130" s="73"/>
      <c r="AY130" s="73"/>
      <c r="AZ130" s="73"/>
      <c r="BA130" s="73"/>
      <c r="BB130" s="81"/>
    </row>
    <row r="131" spans="1:54" x14ac:dyDescent="0.3">
      <c r="A131" s="89" t="s">
        <v>237</v>
      </c>
      <c r="B131" s="89" t="s">
        <v>304</v>
      </c>
      <c r="C131" s="80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81"/>
      <c r="P131" s="80"/>
      <c r="Q131" s="73"/>
      <c r="R131" s="73"/>
      <c r="S131" s="73"/>
      <c r="T131" s="73"/>
      <c r="U131" s="73"/>
      <c r="V131" s="73"/>
      <c r="W131" s="73"/>
      <c r="X131" s="73"/>
      <c r="Y131" s="73"/>
      <c r="Z131" s="73"/>
      <c r="AA131" s="73"/>
      <c r="AB131" s="81"/>
      <c r="AC131" s="80"/>
      <c r="AD131" s="73"/>
      <c r="AE131" s="73"/>
      <c r="AF131" s="73"/>
      <c r="AG131" s="73"/>
      <c r="AH131" s="73"/>
      <c r="AI131" s="73"/>
      <c r="AJ131" s="73"/>
      <c r="AK131" s="73"/>
      <c r="AL131" s="73"/>
      <c r="AM131" s="73"/>
      <c r="AN131" s="73"/>
      <c r="AO131" s="81"/>
      <c r="AP131" s="80"/>
      <c r="AQ131" s="73"/>
      <c r="AR131" s="73"/>
      <c r="AS131" s="73"/>
      <c r="AT131" s="73"/>
      <c r="AU131" s="73"/>
      <c r="AV131" s="73"/>
      <c r="AW131" s="73"/>
      <c r="AX131" s="73"/>
      <c r="AY131" s="73"/>
      <c r="AZ131" s="73"/>
      <c r="BA131" s="73"/>
      <c r="BB131" s="81"/>
    </row>
    <row r="132" spans="1:54" x14ac:dyDescent="0.3">
      <c r="A132" s="89" t="s">
        <v>237</v>
      </c>
      <c r="B132" s="89" t="s">
        <v>306</v>
      </c>
      <c r="C132" s="80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81"/>
      <c r="P132" s="80"/>
      <c r="Q132" s="73"/>
      <c r="R132" s="73"/>
      <c r="S132" s="73"/>
      <c r="T132" s="73"/>
      <c r="U132" s="73"/>
      <c r="V132" s="73"/>
      <c r="W132" s="73"/>
      <c r="X132" s="73"/>
      <c r="Y132" s="73"/>
      <c r="Z132" s="73"/>
      <c r="AA132" s="73"/>
      <c r="AB132" s="81"/>
      <c r="AC132" s="80"/>
      <c r="AD132" s="73"/>
      <c r="AE132" s="73"/>
      <c r="AF132" s="73"/>
      <c r="AG132" s="73"/>
      <c r="AH132" s="73"/>
      <c r="AI132" s="73"/>
      <c r="AJ132" s="73"/>
      <c r="AK132" s="73"/>
      <c r="AL132" s="73"/>
      <c r="AM132" s="73"/>
      <c r="AN132" s="73"/>
      <c r="AO132" s="81"/>
      <c r="AP132" s="80"/>
      <c r="AQ132" s="73"/>
      <c r="AR132" s="73"/>
      <c r="AS132" s="73"/>
      <c r="AT132" s="73"/>
      <c r="AU132" s="73"/>
      <c r="AV132" s="73"/>
      <c r="AW132" s="73"/>
      <c r="AX132" s="73"/>
      <c r="AY132" s="73"/>
      <c r="AZ132" s="73"/>
      <c r="BA132" s="73"/>
      <c r="BB132" s="81"/>
    </row>
    <row r="133" spans="1:54" x14ac:dyDescent="0.3">
      <c r="A133" s="89" t="s">
        <v>237</v>
      </c>
      <c r="B133" s="89" t="s">
        <v>308</v>
      </c>
      <c r="C133" s="80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81"/>
      <c r="P133" s="80"/>
      <c r="Q133" s="73"/>
      <c r="R133" s="73"/>
      <c r="S133" s="73"/>
      <c r="T133" s="73"/>
      <c r="U133" s="73"/>
      <c r="V133" s="73"/>
      <c r="W133" s="73"/>
      <c r="X133" s="73"/>
      <c r="Y133" s="73"/>
      <c r="Z133" s="73"/>
      <c r="AA133" s="73"/>
      <c r="AB133" s="81"/>
      <c r="AC133" s="80"/>
      <c r="AD133" s="73"/>
      <c r="AE133" s="73"/>
      <c r="AF133" s="73"/>
      <c r="AG133" s="73"/>
      <c r="AH133" s="73"/>
      <c r="AI133" s="73"/>
      <c r="AJ133" s="73"/>
      <c r="AK133" s="73"/>
      <c r="AL133" s="73"/>
      <c r="AM133" s="73"/>
      <c r="AN133" s="73"/>
      <c r="AO133" s="81"/>
      <c r="AP133" s="80"/>
      <c r="AQ133" s="73"/>
      <c r="AR133" s="73"/>
      <c r="AS133" s="73"/>
      <c r="AT133" s="73"/>
      <c r="AU133" s="73"/>
      <c r="AV133" s="73"/>
      <c r="AW133" s="73"/>
      <c r="AX133" s="73"/>
      <c r="AY133" s="73"/>
      <c r="AZ133" s="73"/>
      <c r="BA133" s="73"/>
      <c r="BB133" s="81"/>
    </row>
    <row r="134" spans="1:54" x14ac:dyDescent="0.3">
      <c r="A134" s="89" t="s">
        <v>237</v>
      </c>
      <c r="B134" s="89" t="s">
        <v>310</v>
      </c>
      <c r="C134" s="80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81"/>
      <c r="P134" s="80"/>
      <c r="Q134" s="73"/>
      <c r="R134" s="73"/>
      <c r="S134" s="73"/>
      <c r="T134" s="73"/>
      <c r="U134" s="73"/>
      <c r="V134" s="73"/>
      <c r="W134" s="73"/>
      <c r="X134" s="73"/>
      <c r="Y134" s="73"/>
      <c r="Z134" s="73"/>
      <c r="AA134" s="73"/>
      <c r="AB134" s="81"/>
      <c r="AC134" s="80"/>
      <c r="AD134" s="73"/>
      <c r="AE134" s="73"/>
      <c r="AF134" s="73"/>
      <c r="AG134" s="73"/>
      <c r="AH134" s="73"/>
      <c r="AI134" s="73"/>
      <c r="AJ134" s="73"/>
      <c r="AK134" s="73"/>
      <c r="AL134" s="73"/>
      <c r="AM134" s="73"/>
      <c r="AN134" s="73"/>
      <c r="AO134" s="81"/>
      <c r="AP134" s="80"/>
      <c r="AQ134" s="73"/>
      <c r="AR134" s="73"/>
      <c r="AS134" s="73"/>
      <c r="AT134" s="73"/>
      <c r="AU134" s="73"/>
      <c r="AV134" s="73"/>
      <c r="AW134" s="73"/>
      <c r="AX134" s="73"/>
      <c r="AY134" s="73"/>
      <c r="AZ134" s="73"/>
      <c r="BA134" s="73"/>
      <c r="BB134" s="81"/>
    </row>
    <row r="135" spans="1:54" x14ac:dyDescent="0.3">
      <c r="A135" s="89" t="s">
        <v>237</v>
      </c>
      <c r="B135" s="89" t="s">
        <v>312</v>
      </c>
      <c r="C135" s="80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81"/>
      <c r="P135" s="80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81"/>
      <c r="AC135" s="80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81"/>
      <c r="AP135" s="80"/>
      <c r="AQ135" s="73"/>
      <c r="AR135" s="73"/>
      <c r="AS135" s="73"/>
      <c r="AT135" s="73"/>
      <c r="AU135" s="73"/>
      <c r="AV135" s="73"/>
      <c r="AW135" s="73"/>
      <c r="AX135" s="73"/>
      <c r="AY135" s="73"/>
      <c r="AZ135" s="73"/>
      <c r="BA135" s="73"/>
      <c r="BB135" s="81"/>
    </row>
    <row r="136" spans="1:54" x14ac:dyDescent="0.3">
      <c r="A136" s="89" t="s">
        <v>237</v>
      </c>
      <c r="B136" s="89" t="s">
        <v>314</v>
      </c>
      <c r="C136" s="80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81"/>
      <c r="P136" s="80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81"/>
      <c r="AC136" s="80"/>
      <c r="AD136" s="73"/>
      <c r="AE136" s="73"/>
      <c r="AF136" s="73"/>
      <c r="AG136" s="73"/>
      <c r="AH136" s="73"/>
      <c r="AI136" s="73"/>
      <c r="AJ136" s="73"/>
      <c r="AK136" s="73"/>
      <c r="AL136" s="73"/>
      <c r="AM136" s="73"/>
      <c r="AN136" s="73"/>
      <c r="AO136" s="81"/>
      <c r="AP136" s="80"/>
      <c r="AQ136" s="73"/>
      <c r="AR136" s="73"/>
      <c r="AS136" s="73"/>
      <c r="AT136" s="73"/>
      <c r="AU136" s="73"/>
      <c r="AV136" s="73"/>
      <c r="AW136" s="73"/>
      <c r="AX136" s="73"/>
      <c r="AY136" s="73"/>
      <c r="AZ136" s="73"/>
      <c r="BA136" s="73"/>
      <c r="BB136" s="81"/>
    </row>
    <row r="137" spans="1:54" x14ac:dyDescent="0.3">
      <c r="A137" s="89" t="s">
        <v>237</v>
      </c>
      <c r="B137" s="89" t="s">
        <v>316</v>
      </c>
      <c r="C137" s="80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81"/>
      <c r="P137" s="80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81"/>
      <c r="AC137" s="80"/>
      <c r="AD137" s="73"/>
      <c r="AE137" s="73"/>
      <c r="AF137" s="73"/>
      <c r="AG137" s="73"/>
      <c r="AH137" s="73"/>
      <c r="AI137" s="73"/>
      <c r="AJ137" s="73"/>
      <c r="AK137" s="73"/>
      <c r="AL137" s="73"/>
      <c r="AM137" s="73"/>
      <c r="AN137" s="73"/>
      <c r="AO137" s="81"/>
      <c r="AP137" s="80"/>
      <c r="AQ137" s="73"/>
      <c r="AR137" s="73"/>
      <c r="AS137" s="73"/>
      <c r="AT137" s="73"/>
      <c r="AU137" s="73"/>
      <c r="AV137" s="73"/>
      <c r="AW137" s="73"/>
      <c r="AX137" s="73"/>
      <c r="AY137" s="73"/>
      <c r="AZ137" s="73"/>
      <c r="BA137" s="73"/>
      <c r="BB137" s="81"/>
    </row>
    <row r="138" spans="1:54" x14ac:dyDescent="0.3">
      <c r="A138" s="89" t="s">
        <v>237</v>
      </c>
      <c r="B138" s="89" t="s">
        <v>318</v>
      </c>
      <c r="C138" s="80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81"/>
      <c r="P138" s="80"/>
      <c r="Q138" s="73"/>
      <c r="R138" s="73"/>
      <c r="S138" s="73"/>
      <c r="T138" s="73"/>
      <c r="U138" s="73"/>
      <c r="V138" s="73"/>
      <c r="W138" s="73"/>
      <c r="X138" s="73"/>
      <c r="Y138" s="73"/>
      <c r="Z138" s="73"/>
      <c r="AA138" s="73"/>
      <c r="AB138" s="81"/>
      <c r="AC138" s="80"/>
      <c r="AD138" s="73"/>
      <c r="AE138" s="73"/>
      <c r="AF138" s="73"/>
      <c r="AG138" s="73"/>
      <c r="AH138" s="73"/>
      <c r="AI138" s="73"/>
      <c r="AJ138" s="73"/>
      <c r="AK138" s="73"/>
      <c r="AL138" s="73"/>
      <c r="AM138" s="73"/>
      <c r="AN138" s="73"/>
      <c r="AO138" s="81"/>
      <c r="AP138" s="80"/>
      <c r="AQ138" s="73"/>
      <c r="AR138" s="73"/>
      <c r="AS138" s="73"/>
      <c r="AT138" s="73"/>
      <c r="AU138" s="73"/>
      <c r="AV138" s="73"/>
      <c r="AW138" s="73"/>
      <c r="AX138" s="73"/>
      <c r="AY138" s="73"/>
      <c r="AZ138" s="73"/>
      <c r="BA138" s="73"/>
      <c r="BB138" s="81"/>
    </row>
    <row r="139" spans="1:54" x14ac:dyDescent="0.3">
      <c r="A139" s="89" t="s">
        <v>237</v>
      </c>
      <c r="B139" s="89" t="s">
        <v>320</v>
      </c>
      <c r="C139" s="80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81"/>
      <c r="P139" s="80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81"/>
      <c r="AC139" s="80"/>
      <c r="AD139" s="73"/>
      <c r="AE139" s="73"/>
      <c r="AF139" s="73"/>
      <c r="AG139" s="73"/>
      <c r="AH139" s="73"/>
      <c r="AI139" s="73"/>
      <c r="AJ139" s="73"/>
      <c r="AK139" s="73"/>
      <c r="AL139" s="73"/>
      <c r="AM139" s="73"/>
      <c r="AN139" s="73"/>
      <c r="AO139" s="81"/>
      <c r="AP139" s="80"/>
      <c r="AQ139" s="73"/>
      <c r="AR139" s="73"/>
      <c r="AS139" s="73"/>
      <c r="AT139" s="73"/>
      <c r="AU139" s="73"/>
      <c r="AV139" s="73"/>
      <c r="AW139" s="73"/>
      <c r="AX139" s="73"/>
      <c r="AY139" s="73"/>
      <c r="AZ139" s="73"/>
      <c r="BA139" s="73"/>
      <c r="BB139" s="81"/>
    </row>
    <row r="140" spans="1:54" x14ac:dyDescent="0.3">
      <c r="A140" s="89" t="s">
        <v>237</v>
      </c>
      <c r="B140" s="89" t="s">
        <v>322</v>
      </c>
      <c r="C140" s="80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81"/>
      <c r="P140" s="80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81"/>
      <c r="AC140" s="80"/>
      <c r="AD140" s="73"/>
      <c r="AE140" s="73"/>
      <c r="AF140" s="73"/>
      <c r="AG140" s="73"/>
      <c r="AH140" s="73"/>
      <c r="AI140" s="73"/>
      <c r="AJ140" s="73"/>
      <c r="AK140" s="73"/>
      <c r="AL140" s="73"/>
      <c r="AM140" s="73"/>
      <c r="AN140" s="73"/>
      <c r="AO140" s="81"/>
      <c r="AP140" s="80"/>
      <c r="AQ140" s="73"/>
      <c r="AR140" s="73"/>
      <c r="AS140" s="73"/>
      <c r="AT140" s="73"/>
      <c r="AU140" s="73"/>
      <c r="AV140" s="73"/>
      <c r="AW140" s="73"/>
      <c r="AX140" s="73"/>
      <c r="AY140" s="73"/>
      <c r="AZ140" s="73"/>
      <c r="BA140" s="73"/>
      <c r="BB140" s="81"/>
    </row>
    <row r="141" spans="1:54" x14ac:dyDescent="0.3">
      <c r="A141" s="89" t="s">
        <v>237</v>
      </c>
      <c r="B141" s="89" t="s">
        <v>324</v>
      </c>
      <c r="C141" s="80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81"/>
      <c r="P141" s="80"/>
      <c r="Q141" s="73"/>
      <c r="R141" s="73"/>
      <c r="S141" s="73"/>
      <c r="T141" s="73"/>
      <c r="U141" s="73"/>
      <c r="V141" s="73"/>
      <c r="W141" s="73"/>
      <c r="X141" s="73"/>
      <c r="Y141" s="73"/>
      <c r="Z141" s="73"/>
      <c r="AA141" s="73"/>
      <c r="AB141" s="81"/>
      <c r="AC141" s="80"/>
      <c r="AD141" s="73"/>
      <c r="AE141" s="73"/>
      <c r="AF141" s="73"/>
      <c r="AG141" s="73"/>
      <c r="AH141" s="73"/>
      <c r="AI141" s="73"/>
      <c r="AJ141" s="73"/>
      <c r="AK141" s="73"/>
      <c r="AL141" s="73"/>
      <c r="AM141" s="73"/>
      <c r="AN141" s="73"/>
      <c r="AO141" s="81"/>
      <c r="AP141" s="80"/>
      <c r="AQ141" s="73"/>
      <c r="AR141" s="73"/>
      <c r="AS141" s="73"/>
      <c r="AT141" s="73"/>
      <c r="AU141" s="73"/>
      <c r="AV141" s="73"/>
      <c r="AW141" s="73"/>
      <c r="AX141" s="73"/>
      <c r="AY141" s="73"/>
      <c r="AZ141" s="73"/>
      <c r="BA141" s="73"/>
      <c r="BB141" s="81"/>
    </row>
    <row r="142" spans="1:54" x14ac:dyDescent="0.3">
      <c r="A142" s="89" t="s">
        <v>237</v>
      </c>
      <c r="B142" s="89" t="s">
        <v>326</v>
      </c>
      <c r="C142" s="80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81"/>
      <c r="P142" s="80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81"/>
      <c r="AC142" s="80"/>
      <c r="AD142" s="73"/>
      <c r="AE142" s="73"/>
      <c r="AF142" s="73"/>
      <c r="AG142" s="73"/>
      <c r="AH142" s="73"/>
      <c r="AI142" s="73"/>
      <c r="AJ142" s="73"/>
      <c r="AK142" s="73"/>
      <c r="AL142" s="73"/>
      <c r="AM142" s="73"/>
      <c r="AN142" s="73"/>
      <c r="AO142" s="81"/>
      <c r="AP142" s="80"/>
      <c r="AQ142" s="73"/>
      <c r="AR142" s="73"/>
      <c r="AS142" s="73"/>
      <c r="AT142" s="73"/>
      <c r="AU142" s="73"/>
      <c r="AV142" s="73"/>
      <c r="AW142" s="73"/>
      <c r="AX142" s="73"/>
      <c r="AY142" s="73"/>
      <c r="AZ142" s="73"/>
      <c r="BA142" s="73"/>
      <c r="BB142" s="81"/>
    </row>
    <row r="143" spans="1:54" x14ac:dyDescent="0.3">
      <c r="A143" s="89" t="s">
        <v>237</v>
      </c>
      <c r="B143" s="89" t="s">
        <v>328</v>
      </c>
      <c r="C143" s="80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81"/>
      <c r="P143" s="80"/>
      <c r="Q143" s="73"/>
      <c r="R143" s="73"/>
      <c r="S143" s="73"/>
      <c r="T143" s="73"/>
      <c r="U143" s="73"/>
      <c r="V143" s="73"/>
      <c r="W143" s="73"/>
      <c r="X143" s="73"/>
      <c r="Y143" s="73"/>
      <c r="Z143" s="73"/>
      <c r="AA143" s="73"/>
      <c r="AB143" s="81"/>
      <c r="AC143" s="80"/>
      <c r="AD143" s="73"/>
      <c r="AE143" s="73"/>
      <c r="AF143" s="73"/>
      <c r="AG143" s="73"/>
      <c r="AH143" s="73"/>
      <c r="AI143" s="73"/>
      <c r="AJ143" s="73"/>
      <c r="AK143" s="73"/>
      <c r="AL143" s="73"/>
      <c r="AM143" s="73"/>
      <c r="AN143" s="73"/>
      <c r="AO143" s="81"/>
      <c r="AP143" s="80"/>
      <c r="AQ143" s="73"/>
      <c r="AR143" s="73"/>
      <c r="AS143" s="73"/>
      <c r="AT143" s="73"/>
      <c r="AU143" s="73"/>
      <c r="AV143" s="73"/>
      <c r="AW143" s="73"/>
      <c r="AX143" s="73"/>
      <c r="AY143" s="73"/>
      <c r="AZ143" s="73"/>
      <c r="BA143" s="73"/>
      <c r="BB143" s="81"/>
    </row>
    <row r="144" spans="1:54" x14ac:dyDescent="0.3">
      <c r="A144" s="89" t="s">
        <v>237</v>
      </c>
      <c r="B144" s="89" t="s">
        <v>330</v>
      </c>
      <c r="C144" s="80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81"/>
      <c r="P144" s="80"/>
      <c r="Q144" s="73"/>
      <c r="R144" s="73"/>
      <c r="S144" s="73"/>
      <c r="T144" s="73"/>
      <c r="U144" s="73"/>
      <c r="V144" s="73"/>
      <c r="W144" s="73"/>
      <c r="X144" s="73"/>
      <c r="Y144" s="73"/>
      <c r="Z144" s="73"/>
      <c r="AA144" s="73"/>
      <c r="AB144" s="81"/>
      <c r="AC144" s="80"/>
      <c r="AD144" s="73"/>
      <c r="AE144" s="73"/>
      <c r="AF144" s="73"/>
      <c r="AG144" s="73"/>
      <c r="AH144" s="73"/>
      <c r="AI144" s="73"/>
      <c r="AJ144" s="73"/>
      <c r="AK144" s="73"/>
      <c r="AL144" s="73"/>
      <c r="AM144" s="73"/>
      <c r="AN144" s="73"/>
      <c r="AO144" s="81"/>
      <c r="AP144" s="80"/>
      <c r="AQ144" s="73"/>
      <c r="AR144" s="73"/>
      <c r="AS144" s="73"/>
      <c r="AT144" s="73"/>
      <c r="AU144" s="73"/>
      <c r="AV144" s="73"/>
      <c r="AW144" s="73"/>
      <c r="AX144" s="73"/>
      <c r="AY144" s="73"/>
      <c r="AZ144" s="73"/>
      <c r="BA144" s="73"/>
      <c r="BB144" s="81"/>
    </row>
    <row r="145" spans="1:54" x14ac:dyDescent="0.3">
      <c r="A145" s="89" t="s">
        <v>237</v>
      </c>
      <c r="B145" s="89" t="s">
        <v>332</v>
      </c>
      <c r="C145" s="80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81"/>
      <c r="P145" s="80"/>
      <c r="Q145" s="73"/>
      <c r="R145" s="73"/>
      <c r="S145" s="73"/>
      <c r="T145" s="73"/>
      <c r="U145" s="73"/>
      <c r="V145" s="73"/>
      <c r="W145" s="73"/>
      <c r="X145" s="73"/>
      <c r="Y145" s="73"/>
      <c r="Z145" s="73"/>
      <c r="AA145" s="73"/>
      <c r="AB145" s="81"/>
      <c r="AC145" s="80"/>
      <c r="AD145" s="73"/>
      <c r="AE145" s="73"/>
      <c r="AF145" s="73"/>
      <c r="AG145" s="73"/>
      <c r="AH145" s="73"/>
      <c r="AI145" s="73"/>
      <c r="AJ145" s="73"/>
      <c r="AK145" s="73"/>
      <c r="AL145" s="73"/>
      <c r="AM145" s="73"/>
      <c r="AN145" s="73"/>
      <c r="AO145" s="81"/>
      <c r="AP145" s="80"/>
      <c r="AQ145" s="73"/>
      <c r="AR145" s="73"/>
      <c r="AS145" s="73"/>
      <c r="AT145" s="73"/>
      <c r="AU145" s="73"/>
      <c r="AV145" s="73"/>
      <c r="AW145" s="73"/>
      <c r="AX145" s="73"/>
      <c r="AY145" s="73"/>
      <c r="AZ145" s="73"/>
      <c r="BA145" s="73"/>
      <c r="BB145" s="81"/>
    </row>
    <row r="146" spans="1:54" x14ac:dyDescent="0.3">
      <c r="A146" s="89" t="s">
        <v>237</v>
      </c>
      <c r="B146" s="89" t="s">
        <v>334</v>
      </c>
      <c r="C146" s="80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81"/>
      <c r="P146" s="80"/>
      <c r="Q146" s="73"/>
      <c r="R146" s="73"/>
      <c r="S146" s="73"/>
      <c r="T146" s="73"/>
      <c r="U146" s="73"/>
      <c r="V146" s="73"/>
      <c r="W146" s="73"/>
      <c r="X146" s="73"/>
      <c r="Y146" s="73"/>
      <c r="Z146" s="73"/>
      <c r="AA146" s="73"/>
      <c r="AB146" s="81"/>
      <c r="AC146" s="80"/>
      <c r="AD146" s="73"/>
      <c r="AE146" s="73"/>
      <c r="AF146" s="73"/>
      <c r="AG146" s="73"/>
      <c r="AH146" s="73"/>
      <c r="AI146" s="73"/>
      <c r="AJ146" s="73"/>
      <c r="AK146" s="73"/>
      <c r="AL146" s="73"/>
      <c r="AM146" s="73"/>
      <c r="AN146" s="73"/>
      <c r="AO146" s="81"/>
      <c r="AP146" s="80"/>
      <c r="AQ146" s="73"/>
      <c r="AR146" s="73"/>
      <c r="AS146" s="73"/>
      <c r="AT146" s="73"/>
      <c r="AU146" s="73"/>
      <c r="AV146" s="73"/>
      <c r="AW146" s="73"/>
      <c r="AX146" s="73"/>
      <c r="AY146" s="73"/>
      <c r="AZ146" s="73"/>
      <c r="BA146" s="73"/>
      <c r="BB146" s="81"/>
    </row>
    <row r="147" spans="1:54" x14ac:dyDescent="0.3">
      <c r="A147" s="89" t="s">
        <v>237</v>
      </c>
      <c r="B147" s="89" t="s">
        <v>336</v>
      </c>
      <c r="C147" s="80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81"/>
      <c r="P147" s="80"/>
      <c r="Q147" s="73"/>
      <c r="R147" s="73"/>
      <c r="S147" s="73"/>
      <c r="T147" s="73"/>
      <c r="U147" s="73"/>
      <c r="V147" s="73"/>
      <c r="W147" s="73"/>
      <c r="X147" s="73"/>
      <c r="Y147" s="73"/>
      <c r="Z147" s="73"/>
      <c r="AA147" s="73"/>
      <c r="AB147" s="81"/>
      <c r="AC147" s="80"/>
      <c r="AD147" s="73"/>
      <c r="AE147" s="73"/>
      <c r="AF147" s="73"/>
      <c r="AG147" s="73"/>
      <c r="AH147" s="73"/>
      <c r="AI147" s="73"/>
      <c r="AJ147" s="73"/>
      <c r="AK147" s="73"/>
      <c r="AL147" s="73"/>
      <c r="AM147" s="73"/>
      <c r="AN147" s="73"/>
      <c r="AO147" s="81"/>
      <c r="AP147" s="80"/>
      <c r="AQ147" s="73"/>
      <c r="AR147" s="73"/>
      <c r="AS147" s="73"/>
      <c r="AT147" s="73"/>
      <c r="AU147" s="73"/>
      <c r="AV147" s="73"/>
      <c r="AW147" s="73"/>
      <c r="AX147" s="73"/>
      <c r="AY147" s="73"/>
      <c r="AZ147" s="73"/>
      <c r="BA147" s="73"/>
      <c r="BB147" s="81"/>
    </row>
    <row r="148" spans="1:54" x14ac:dyDescent="0.3">
      <c r="A148" s="89" t="s">
        <v>237</v>
      </c>
      <c r="B148" s="89" t="s">
        <v>338</v>
      </c>
      <c r="C148" s="80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81"/>
      <c r="P148" s="80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81"/>
      <c r="AC148" s="80"/>
      <c r="AD148" s="73"/>
      <c r="AE148" s="73"/>
      <c r="AF148" s="73"/>
      <c r="AG148" s="73"/>
      <c r="AH148" s="73"/>
      <c r="AI148" s="73"/>
      <c r="AJ148" s="73"/>
      <c r="AK148" s="73"/>
      <c r="AL148" s="73"/>
      <c r="AM148" s="73"/>
      <c r="AN148" s="73"/>
      <c r="AO148" s="81"/>
      <c r="AP148" s="80"/>
      <c r="AQ148" s="73"/>
      <c r="AR148" s="73"/>
      <c r="AS148" s="73"/>
      <c r="AT148" s="73"/>
      <c r="AU148" s="73"/>
      <c r="AV148" s="73"/>
      <c r="AW148" s="73"/>
      <c r="AX148" s="73"/>
      <c r="AY148" s="73"/>
      <c r="AZ148" s="73"/>
      <c r="BA148" s="73"/>
      <c r="BB148" s="81"/>
    </row>
    <row r="149" spans="1:54" x14ac:dyDescent="0.3">
      <c r="A149" s="89" t="s">
        <v>237</v>
      </c>
      <c r="B149" s="89" t="s">
        <v>340</v>
      </c>
      <c r="C149" s="80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81"/>
      <c r="P149" s="80"/>
      <c r="Q149" s="73"/>
      <c r="R149" s="73"/>
      <c r="S149" s="73"/>
      <c r="T149" s="73"/>
      <c r="U149" s="73"/>
      <c r="V149" s="73"/>
      <c r="W149" s="73"/>
      <c r="X149" s="73"/>
      <c r="Y149" s="73"/>
      <c r="Z149" s="73"/>
      <c r="AA149" s="73"/>
      <c r="AB149" s="81"/>
      <c r="AC149" s="80"/>
      <c r="AD149" s="73"/>
      <c r="AE149" s="73"/>
      <c r="AF149" s="73"/>
      <c r="AG149" s="73"/>
      <c r="AH149" s="73"/>
      <c r="AI149" s="73"/>
      <c r="AJ149" s="73"/>
      <c r="AK149" s="73"/>
      <c r="AL149" s="73"/>
      <c r="AM149" s="73"/>
      <c r="AN149" s="73"/>
      <c r="AO149" s="81"/>
      <c r="AP149" s="80"/>
      <c r="AQ149" s="73"/>
      <c r="AR149" s="73"/>
      <c r="AS149" s="73"/>
      <c r="AT149" s="73"/>
      <c r="AU149" s="73"/>
      <c r="AV149" s="73"/>
      <c r="AW149" s="73"/>
      <c r="AX149" s="73"/>
      <c r="AY149" s="73"/>
      <c r="AZ149" s="73"/>
      <c r="BA149" s="73"/>
      <c r="BB149" s="81"/>
    </row>
    <row r="150" spans="1:54" x14ac:dyDescent="0.3">
      <c r="A150" s="89" t="s">
        <v>237</v>
      </c>
      <c r="B150" s="89" t="s">
        <v>342</v>
      </c>
      <c r="C150" s="80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81"/>
      <c r="P150" s="80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81"/>
      <c r="AC150" s="80"/>
      <c r="AD150" s="73"/>
      <c r="AE150" s="73"/>
      <c r="AF150" s="73"/>
      <c r="AG150" s="73"/>
      <c r="AH150" s="73"/>
      <c r="AI150" s="73"/>
      <c r="AJ150" s="73"/>
      <c r="AK150" s="73"/>
      <c r="AL150" s="73"/>
      <c r="AM150" s="73"/>
      <c r="AN150" s="73"/>
      <c r="AO150" s="81"/>
      <c r="AP150" s="80"/>
      <c r="AQ150" s="73"/>
      <c r="AR150" s="73"/>
      <c r="AS150" s="73"/>
      <c r="AT150" s="73"/>
      <c r="AU150" s="73"/>
      <c r="AV150" s="73"/>
      <c r="AW150" s="73"/>
      <c r="AX150" s="73"/>
      <c r="AY150" s="73"/>
      <c r="AZ150" s="73"/>
      <c r="BA150" s="73"/>
      <c r="BB150" s="81"/>
    </row>
    <row r="151" spans="1:54" x14ac:dyDescent="0.3">
      <c r="A151" s="89" t="s">
        <v>237</v>
      </c>
      <c r="B151" s="89" t="s">
        <v>344</v>
      </c>
      <c r="C151" s="80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81"/>
      <c r="P151" s="80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81"/>
      <c r="AC151" s="80"/>
      <c r="AD151" s="73"/>
      <c r="AE151" s="73"/>
      <c r="AF151" s="73"/>
      <c r="AG151" s="73"/>
      <c r="AH151" s="73"/>
      <c r="AI151" s="73"/>
      <c r="AJ151" s="73"/>
      <c r="AK151" s="73"/>
      <c r="AL151" s="73"/>
      <c r="AM151" s="73"/>
      <c r="AN151" s="73"/>
      <c r="AO151" s="81"/>
      <c r="AP151" s="80"/>
      <c r="AQ151" s="73"/>
      <c r="AR151" s="73"/>
      <c r="AS151" s="73"/>
      <c r="AT151" s="73"/>
      <c r="AU151" s="73"/>
      <c r="AV151" s="73"/>
      <c r="AW151" s="73"/>
      <c r="AX151" s="73"/>
      <c r="AY151" s="73"/>
      <c r="AZ151" s="73"/>
      <c r="BA151" s="73"/>
      <c r="BB151" s="81"/>
    </row>
    <row r="152" spans="1:54" x14ac:dyDescent="0.3">
      <c r="A152" s="89" t="s">
        <v>237</v>
      </c>
      <c r="B152" s="89" t="s">
        <v>346</v>
      </c>
      <c r="C152" s="80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81"/>
      <c r="P152" s="80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81"/>
      <c r="AC152" s="80"/>
      <c r="AD152" s="73"/>
      <c r="AE152" s="73"/>
      <c r="AF152" s="73"/>
      <c r="AG152" s="73"/>
      <c r="AH152" s="73"/>
      <c r="AI152" s="73"/>
      <c r="AJ152" s="73"/>
      <c r="AK152" s="73"/>
      <c r="AL152" s="73"/>
      <c r="AM152" s="73"/>
      <c r="AN152" s="73"/>
      <c r="AO152" s="81"/>
      <c r="AP152" s="80"/>
      <c r="AQ152" s="73"/>
      <c r="AR152" s="73"/>
      <c r="AS152" s="73"/>
      <c r="AT152" s="73"/>
      <c r="AU152" s="73"/>
      <c r="AV152" s="73"/>
      <c r="AW152" s="73"/>
      <c r="AX152" s="73"/>
      <c r="AY152" s="73"/>
      <c r="AZ152" s="73"/>
      <c r="BA152" s="73"/>
      <c r="BB152" s="81"/>
    </row>
    <row r="153" spans="1:54" x14ac:dyDescent="0.3">
      <c r="A153" s="89" t="s">
        <v>237</v>
      </c>
      <c r="B153" s="89" t="s">
        <v>348</v>
      </c>
      <c r="C153" s="80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81"/>
      <c r="P153" s="80"/>
      <c r="Q153" s="73"/>
      <c r="R153" s="73"/>
      <c r="S153" s="73"/>
      <c r="T153" s="73"/>
      <c r="U153" s="73"/>
      <c r="V153" s="73"/>
      <c r="W153" s="73"/>
      <c r="X153" s="73"/>
      <c r="Y153" s="73"/>
      <c r="Z153" s="73"/>
      <c r="AA153" s="73"/>
      <c r="AB153" s="81"/>
      <c r="AC153" s="80"/>
      <c r="AD153" s="73"/>
      <c r="AE153" s="73"/>
      <c r="AF153" s="73"/>
      <c r="AG153" s="73"/>
      <c r="AH153" s="73"/>
      <c r="AI153" s="73"/>
      <c r="AJ153" s="73"/>
      <c r="AK153" s="73"/>
      <c r="AL153" s="73"/>
      <c r="AM153" s="73"/>
      <c r="AN153" s="73"/>
      <c r="AO153" s="81"/>
      <c r="AP153" s="80"/>
      <c r="AQ153" s="73"/>
      <c r="AR153" s="73"/>
      <c r="AS153" s="73"/>
      <c r="AT153" s="73"/>
      <c r="AU153" s="73"/>
      <c r="AV153" s="73"/>
      <c r="AW153" s="73"/>
      <c r="AX153" s="73"/>
      <c r="AY153" s="73"/>
      <c r="AZ153" s="73"/>
      <c r="BA153" s="73"/>
      <c r="BB153" s="81"/>
    </row>
    <row r="154" spans="1:54" x14ac:dyDescent="0.3">
      <c r="A154" s="89" t="s">
        <v>237</v>
      </c>
      <c r="B154" s="89" t="s">
        <v>350</v>
      </c>
      <c r="C154" s="80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81"/>
      <c r="P154" s="80"/>
      <c r="Q154" s="73"/>
      <c r="R154" s="73"/>
      <c r="S154" s="73"/>
      <c r="T154" s="73"/>
      <c r="U154" s="73"/>
      <c r="V154" s="73"/>
      <c r="W154" s="73"/>
      <c r="X154" s="73"/>
      <c r="Y154" s="73"/>
      <c r="Z154" s="73"/>
      <c r="AA154" s="73"/>
      <c r="AB154" s="81"/>
      <c r="AC154" s="80"/>
      <c r="AD154" s="73"/>
      <c r="AE154" s="73"/>
      <c r="AF154" s="73"/>
      <c r="AG154" s="73"/>
      <c r="AH154" s="73"/>
      <c r="AI154" s="73"/>
      <c r="AJ154" s="73"/>
      <c r="AK154" s="73"/>
      <c r="AL154" s="73"/>
      <c r="AM154" s="73"/>
      <c r="AN154" s="73"/>
      <c r="AO154" s="81"/>
      <c r="AP154" s="80"/>
      <c r="AQ154" s="73"/>
      <c r="AR154" s="73"/>
      <c r="AS154" s="73"/>
      <c r="AT154" s="73"/>
      <c r="AU154" s="73"/>
      <c r="AV154" s="73"/>
      <c r="AW154" s="73"/>
      <c r="AX154" s="73"/>
      <c r="AY154" s="73"/>
      <c r="AZ154" s="73"/>
      <c r="BA154" s="73"/>
      <c r="BB154" s="81"/>
    </row>
    <row r="155" spans="1:54" x14ac:dyDescent="0.3">
      <c r="A155" s="89" t="s">
        <v>237</v>
      </c>
      <c r="B155" s="89" t="s">
        <v>352</v>
      </c>
      <c r="C155" s="80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81"/>
      <c r="P155" s="80"/>
      <c r="Q155" s="73"/>
      <c r="R155" s="73"/>
      <c r="S155" s="73"/>
      <c r="T155" s="73"/>
      <c r="U155" s="73"/>
      <c r="V155" s="73"/>
      <c r="W155" s="73"/>
      <c r="X155" s="73"/>
      <c r="Y155" s="73"/>
      <c r="Z155" s="73"/>
      <c r="AA155" s="73"/>
      <c r="AB155" s="81"/>
      <c r="AC155" s="80"/>
      <c r="AD155" s="73"/>
      <c r="AE155" s="73"/>
      <c r="AF155" s="73"/>
      <c r="AG155" s="73"/>
      <c r="AH155" s="73"/>
      <c r="AI155" s="73"/>
      <c r="AJ155" s="73"/>
      <c r="AK155" s="73"/>
      <c r="AL155" s="73"/>
      <c r="AM155" s="73"/>
      <c r="AN155" s="73"/>
      <c r="AO155" s="81"/>
      <c r="AP155" s="80"/>
      <c r="AQ155" s="73"/>
      <c r="AR155" s="73"/>
      <c r="AS155" s="73"/>
      <c r="AT155" s="73"/>
      <c r="AU155" s="73"/>
      <c r="AV155" s="73"/>
      <c r="AW155" s="73"/>
      <c r="AX155" s="73"/>
      <c r="AY155" s="73"/>
      <c r="AZ155" s="73"/>
      <c r="BA155" s="73"/>
      <c r="BB155" s="81"/>
    </row>
    <row r="156" spans="1:54" x14ac:dyDescent="0.3">
      <c r="A156" s="89" t="s">
        <v>237</v>
      </c>
      <c r="B156" s="89" t="s">
        <v>354</v>
      </c>
      <c r="C156" s="80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81"/>
      <c r="P156" s="80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81"/>
      <c r="AC156" s="80"/>
      <c r="AD156" s="73"/>
      <c r="AE156" s="73"/>
      <c r="AF156" s="73"/>
      <c r="AG156" s="73"/>
      <c r="AH156" s="73"/>
      <c r="AI156" s="73"/>
      <c r="AJ156" s="73"/>
      <c r="AK156" s="73"/>
      <c r="AL156" s="73"/>
      <c r="AM156" s="73"/>
      <c r="AN156" s="73"/>
      <c r="AO156" s="81"/>
      <c r="AP156" s="80"/>
      <c r="AQ156" s="73"/>
      <c r="AR156" s="73"/>
      <c r="AS156" s="73"/>
      <c r="AT156" s="73"/>
      <c r="AU156" s="73"/>
      <c r="AV156" s="73"/>
      <c r="AW156" s="73"/>
      <c r="AX156" s="73"/>
      <c r="AY156" s="73"/>
      <c r="AZ156" s="73"/>
      <c r="BA156" s="73"/>
      <c r="BB156" s="81"/>
    </row>
    <row r="157" spans="1:54" x14ac:dyDescent="0.3">
      <c r="A157" s="89" t="s">
        <v>237</v>
      </c>
      <c r="B157" s="89" t="s">
        <v>356</v>
      </c>
      <c r="C157" s="80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81"/>
      <c r="P157" s="80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81"/>
      <c r="AC157" s="80"/>
      <c r="AD157" s="73"/>
      <c r="AE157" s="73"/>
      <c r="AF157" s="73"/>
      <c r="AG157" s="73"/>
      <c r="AH157" s="73"/>
      <c r="AI157" s="73"/>
      <c r="AJ157" s="73"/>
      <c r="AK157" s="73"/>
      <c r="AL157" s="73"/>
      <c r="AM157" s="73"/>
      <c r="AN157" s="73"/>
      <c r="AO157" s="81"/>
      <c r="AP157" s="80"/>
      <c r="AQ157" s="73"/>
      <c r="AR157" s="73"/>
      <c r="AS157" s="73"/>
      <c r="AT157" s="73"/>
      <c r="AU157" s="73"/>
      <c r="AV157" s="73"/>
      <c r="AW157" s="73"/>
      <c r="AX157" s="73"/>
      <c r="AY157" s="73"/>
      <c r="AZ157" s="73"/>
      <c r="BA157" s="73"/>
      <c r="BB157" s="81"/>
    </row>
    <row r="158" spans="1:54" x14ac:dyDescent="0.3">
      <c r="A158" s="89" t="s">
        <v>237</v>
      </c>
      <c r="B158" s="89" t="s">
        <v>358</v>
      </c>
      <c r="C158" s="80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81"/>
      <c r="P158" s="80"/>
      <c r="Q158" s="73"/>
      <c r="R158" s="73"/>
      <c r="S158" s="73"/>
      <c r="T158" s="73"/>
      <c r="U158" s="73"/>
      <c r="V158" s="73"/>
      <c r="W158" s="73"/>
      <c r="X158" s="73"/>
      <c r="Y158" s="73"/>
      <c r="Z158" s="73"/>
      <c r="AA158" s="73"/>
      <c r="AB158" s="81"/>
      <c r="AC158" s="80"/>
      <c r="AD158" s="73"/>
      <c r="AE158" s="73"/>
      <c r="AF158" s="73"/>
      <c r="AG158" s="73"/>
      <c r="AH158" s="73"/>
      <c r="AI158" s="73"/>
      <c r="AJ158" s="73"/>
      <c r="AK158" s="73"/>
      <c r="AL158" s="73"/>
      <c r="AM158" s="73"/>
      <c r="AN158" s="73"/>
      <c r="AO158" s="81"/>
      <c r="AP158" s="80"/>
      <c r="AQ158" s="73"/>
      <c r="AR158" s="73"/>
      <c r="AS158" s="73"/>
      <c r="AT158" s="73"/>
      <c r="AU158" s="73"/>
      <c r="AV158" s="73"/>
      <c r="AW158" s="73"/>
      <c r="AX158" s="73"/>
      <c r="AY158" s="73"/>
      <c r="AZ158" s="73"/>
      <c r="BA158" s="73"/>
      <c r="BB158" s="81"/>
    </row>
    <row r="159" spans="1:54" x14ac:dyDescent="0.3">
      <c r="A159" s="89" t="s">
        <v>237</v>
      </c>
      <c r="B159" s="89" t="s">
        <v>360</v>
      </c>
      <c r="C159" s="80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81"/>
      <c r="P159" s="80"/>
      <c r="Q159" s="73"/>
      <c r="R159" s="73"/>
      <c r="S159" s="73"/>
      <c r="T159" s="73"/>
      <c r="U159" s="73"/>
      <c r="V159" s="73"/>
      <c r="W159" s="73"/>
      <c r="X159" s="73"/>
      <c r="Y159" s="73"/>
      <c r="Z159" s="73"/>
      <c r="AA159" s="73"/>
      <c r="AB159" s="81"/>
      <c r="AC159" s="80"/>
      <c r="AD159" s="73"/>
      <c r="AE159" s="73"/>
      <c r="AF159" s="73"/>
      <c r="AG159" s="73"/>
      <c r="AH159" s="73"/>
      <c r="AI159" s="73"/>
      <c r="AJ159" s="73"/>
      <c r="AK159" s="73"/>
      <c r="AL159" s="73"/>
      <c r="AM159" s="73"/>
      <c r="AN159" s="73"/>
      <c r="AO159" s="81"/>
      <c r="AP159" s="80"/>
      <c r="AQ159" s="73"/>
      <c r="AR159" s="73"/>
      <c r="AS159" s="73"/>
      <c r="AT159" s="73"/>
      <c r="AU159" s="73"/>
      <c r="AV159" s="73"/>
      <c r="AW159" s="73"/>
      <c r="AX159" s="73"/>
      <c r="AY159" s="73"/>
      <c r="AZ159" s="73"/>
      <c r="BA159" s="73"/>
      <c r="BB159" s="81"/>
    </row>
    <row r="160" spans="1:54" x14ac:dyDescent="0.3">
      <c r="A160" s="89" t="s">
        <v>237</v>
      </c>
      <c r="B160" s="89" t="s">
        <v>362</v>
      </c>
      <c r="C160" s="80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81"/>
      <c r="P160" s="80"/>
      <c r="Q160" s="73"/>
      <c r="R160" s="73"/>
      <c r="S160" s="73"/>
      <c r="T160" s="73"/>
      <c r="U160" s="73"/>
      <c r="V160" s="73"/>
      <c r="W160" s="73"/>
      <c r="X160" s="73"/>
      <c r="Y160" s="73"/>
      <c r="Z160" s="73"/>
      <c r="AA160" s="73"/>
      <c r="AB160" s="81"/>
      <c r="AC160" s="80"/>
      <c r="AD160" s="73"/>
      <c r="AE160" s="73"/>
      <c r="AF160" s="73"/>
      <c r="AG160" s="73"/>
      <c r="AH160" s="73"/>
      <c r="AI160" s="73"/>
      <c r="AJ160" s="73"/>
      <c r="AK160" s="73"/>
      <c r="AL160" s="73"/>
      <c r="AM160" s="73"/>
      <c r="AN160" s="73"/>
      <c r="AO160" s="81"/>
      <c r="AP160" s="80"/>
      <c r="AQ160" s="73"/>
      <c r="AR160" s="73"/>
      <c r="AS160" s="73"/>
      <c r="AT160" s="73"/>
      <c r="AU160" s="73"/>
      <c r="AV160" s="73"/>
      <c r="AW160" s="73"/>
      <c r="AX160" s="73"/>
      <c r="AY160" s="73"/>
      <c r="AZ160" s="73"/>
      <c r="BA160" s="73"/>
      <c r="BB160" s="81"/>
    </row>
    <row r="161" spans="1:54" x14ac:dyDescent="0.3">
      <c r="A161" s="89" t="s">
        <v>237</v>
      </c>
      <c r="B161" s="89" t="s">
        <v>364</v>
      </c>
      <c r="C161" s="80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81"/>
      <c r="P161" s="80"/>
      <c r="Q161" s="73"/>
      <c r="R161" s="73"/>
      <c r="S161" s="73"/>
      <c r="T161" s="73"/>
      <c r="U161" s="73"/>
      <c r="V161" s="73"/>
      <c r="W161" s="73"/>
      <c r="X161" s="73"/>
      <c r="Y161" s="73"/>
      <c r="Z161" s="73"/>
      <c r="AA161" s="73"/>
      <c r="AB161" s="81"/>
      <c r="AC161" s="80"/>
      <c r="AD161" s="73"/>
      <c r="AE161" s="73"/>
      <c r="AF161" s="73"/>
      <c r="AG161" s="73"/>
      <c r="AH161" s="73"/>
      <c r="AI161" s="73"/>
      <c r="AJ161" s="73"/>
      <c r="AK161" s="73"/>
      <c r="AL161" s="73"/>
      <c r="AM161" s="73"/>
      <c r="AN161" s="73"/>
      <c r="AO161" s="81"/>
      <c r="AP161" s="80"/>
      <c r="AQ161" s="73"/>
      <c r="AR161" s="73"/>
      <c r="AS161" s="73"/>
      <c r="AT161" s="73"/>
      <c r="AU161" s="73"/>
      <c r="AV161" s="73"/>
      <c r="AW161" s="73"/>
      <c r="AX161" s="73"/>
      <c r="AY161" s="73"/>
      <c r="AZ161" s="73"/>
      <c r="BA161" s="73"/>
      <c r="BB161" s="81"/>
    </row>
    <row r="162" spans="1:54" x14ac:dyDescent="0.3">
      <c r="A162" s="89" t="s">
        <v>237</v>
      </c>
      <c r="B162" s="89" t="s">
        <v>366</v>
      </c>
      <c r="C162" s="80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81"/>
      <c r="P162" s="80"/>
      <c r="Q162" s="73"/>
      <c r="R162" s="73"/>
      <c r="S162" s="73"/>
      <c r="T162" s="73"/>
      <c r="U162" s="73"/>
      <c r="V162" s="73"/>
      <c r="W162" s="73"/>
      <c r="X162" s="73"/>
      <c r="Y162" s="73"/>
      <c r="Z162" s="73"/>
      <c r="AA162" s="73"/>
      <c r="AB162" s="81"/>
      <c r="AC162" s="80"/>
      <c r="AD162" s="73"/>
      <c r="AE162" s="73"/>
      <c r="AF162" s="73"/>
      <c r="AG162" s="73"/>
      <c r="AH162" s="73"/>
      <c r="AI162" s="73"/>
      <c r="AJ162" s="73"/>
      <c r="AK162" s="73"/>
      <c r="AL162" s="73"/>
      <c r="AM162" s="73"/>
      <c r="AN162" s="73"/>
      <c r="AO162" s="81"/>
      <c r="AP162" s="80"/>
      <c r="AQ162" s="73"/>
      <c r="AR162" s="73"/>
      <c r="AS162" s="73"/>
      <c r="AT162" s="73"/>
      <c r="AU162" s="73"/>
      <c r="AV162" s="73"/>
      <c r="AW162" s="73"/>
      <c r="AX162" s="73"/>
      <c r="AY162" s="73"/>
      <c r="AZ162" s="73"/>
      <c r="BA162" s="73"/>
      <c r="BB162" s="81"/>
    </row>
    <row r="163" spans="1:54" x14ac:dyDescent="0.3">
      <c r="A163" s="89" t="s">
        <v>237</v>
      </c>
      <c r="B163" s="89" t="s">
        <v>368</v>
      </c>
      <c r="C163" s="80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81"/>
      <c r="P163" s="80"/>
      <c r="Q163" s="73"/>
      <c r="R163" s="73"/>
      <c r="S163" s="73"/>
      <c r="T163" s="73"/>
      <c r="U163" s="73"/>
      <c r="V163" s="73"/>
      <c r="W163" s="73"/>
      <c r="X163" s="73"/>
      <c r="Y163" s="73"/>
      <c r="Z163" s="73"/>
      <c r="AA163" s="73"/>
      <c r="AB163" s="81"/>
      <c r="AC163" s="80"/>
      <c r="AD163" s="73"/>
      <c r="AE163" s="73"/>
      <c r="AF163" s="73"/>
      <c r="AG163" s="73"/>
      <c r="AH163" s="73"/>
      <c r="AI163" s="73"/>
      <c r="AJ163" s="73"/>
      <c r="AK163" s="73"/>
      <c r="AL163" s="73"/>
      <c r="AM163" s="73"/>
      <c r="AN163" s="73"/>
      <c r="AO163" s="81"/>
      <c r="AP163" s="80"/>
      <c r="AQ163" s="73"/>
      <c r="AR163" s="73"/>
      <c r="AS163" s="73"/>
      <c r="AT163" s="73"/>
      <c r="AU163" s="73"/>
      <c r="AV163" s="73"/>
      <c r="AW163" s="73"/>
      <c r="AX163" s="73"/>
      <c r="AY163" s="73"/>
      <c r="AZ163" s="73"/>
      <c r="BA163" s="73"/>
      <c r="BB163" s="81"/>
    </row>
    <row r="164" spans="1:54" x14ac:dyDescent="0.3">
      <c r="A164" s="89" t="s">
        <v>237</v>
      </c>
      <c r="B164" s="89" t="s">
        <v>370</v>
      </c>
      <c r="C164" s="80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81"/>
      <c r="P164" s="80"/>
      <c r="Q164" s="73"/>
      <c r="R164" s="73"/>
      <c r="S164" s="73"/>
      <c r="T164" s="73"/>
      <c r="U164" s="73"/>
      <c r="V164" s="73"/>
      <c r="W164" s="73"/>
      <c r="X164" s="73"/>
      <c r="Y164" s="73"/>
      <c r="Z164" s="73"/>
      <c r="AA164" s="73"/>
      <c r="AB164" s="81"/>
      <c r="AC164" s="80"/>
      <c r="AD164" s="73"/>
      <c r="AE164" s="73"/>
      <c r="AF164" s="73"/>
      <c r="AG164" s="73"/>
      <c r="AH164" s="73"/>
      <c r="AI164" s="73"/>
      <c r="AJ164" s="73"/>
      <c r="AK164" s="73"/>
      <c r="AL164" s="73"/>
      <c r="AM164" s="73"/>
      <c r="AN164" s="73"/>
      <c r="AO164" s="81"/>
      <c r="AP164" s="80"/>
      <c r="AQ164" s="73"/>
      <c r="AR164" s="73"/>
      <c r="AS164" s="73"/>
      <c r="AT164" s="73"/>
      <c r="AU164" s="73"/>
      <c r="AV164" s="73"/>
      <c r="AW164" s="73"/>
      <c r="AX164" s="73"/>
      <c r="AY164" s="73"/>
      <c r="AZ164" s="73"/>
      <c r="BA164" s="73"/>
      <c r="BB164" s="81"/>
    </row>
    <row r="165" spans="1:54" x14ac:dyDescent="0.3">
      <c r="A165" s="89" t="s">
        <v>237</v>
      </c>
      <c r="B165" s="89" t="s">
        <v>372</v>
      </c>
      <c r="C165" s="80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81"/>
      <c r="P165" s="80"/>
      <c r="Q165" s="73"/>
      <c r="R165" s="73"/>
      <c r="S165" s="73"/>
      <c r="T165" s="73"/>
      <c r="U165" s="73"/>
      <c r="V165" s="73"/>
      <c r="W165" s="73"/>
      <c r="X165" s="73"/>
      <c r="Y165" s="73"/>
      <c r="Z165" s="73"/>
      <c r="AA165" s="73"/>
      <c r="AB165" s="81"/>
      <c r="AC165" s="80"/>
      <c r="AD165" s="73"/>
      <c r="AE165" s="73"/>
      <c r="AF165" s="73"/>
      <c r="AG165" s="73"/>
      <c r="AH165" s="73"/>
      <c r="AI165" s="73"/>
      <c r="AJ165" s="73"/>
      <c r="AK165" s="73"/>
      <c r="AL165" s="73"/>
      <c r="AM165" s="73"/>
      <c r="AN165" s="73"/>
      <c r="AO165" s="81"/>
      <c r="AP165" s="80"/>
      <c r="AQ165" s="73"/>
      <c r="AR165" s="73"/>
      <c r="AS165" s="73"/>
      <c r="AT165" s="73"/>
      <c r="AU165" s="73"/>
      <c r="AV165" s="73"/>
      <c r="AW165" s="73"/>
      <c r="AX165" s="73"/>
      <c r="AY165" s="73"/>
      <c r="AZ165" s="73"/>
      <c r="BA165" s="73"/>
      <c r="BB165" s="81"/>
    </row>
    <row r="166" spans="1:54" x14ac:dyDescent="0.3">
      <c r="A166" s="89" t="s">
        <v>237</v>
      </c>
      <c r="B166" s="89" t="s">
        <v>374</v>
      </c>
      <c r="C166" s="80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81"/>
      <c r="P166" s="80"/>
      <c r="Q166" s="73"/>
      <c r="R166" s="73"/>
      <c r="S166" s="73"/>
      <c r="T166" s="73"/>
      <c r="U166" s="73"/>
      <c r="V166" s="73"/>
      <c r="W166" s="73"/>
      <c r="X166" s="73"/>
      <c r="Y166" s="73"/>
      <c r="Z166" s="73"/>
      <c r="AA166" s="73"/>
      <c r="AB166" s="81"/>
      <c r="AC166" s="80"/>
      <c r="AD166" s="73"/>
      <c r="AE166" s="73"/>
      <c r="AF166" s="73"/>
      <c r="AG166" s="73"/>
      <c r="AH166" s="73"/>
      <c r="AI166" s="73"/>
      <c r="AJ166" s="73"/>
      <c r="AK166" s="73"/>
      <c r="AL166" s="73"/>
      <c r="AM166" s="73"/>
      <c r="AN166" s="73"/>
      <c r="AO166" s="81"/>
      <c r="AP166" s="80"/>
      <c r="AQ166" s="73"/>
      <c r="AR166" s="73"/>
      <c r="AS166" s="73"/>
      <c r="AT166" s="73"/>
      <c r="AU166" s="73"/>
      <c r="AV166" s="73"/>
      <c r="AW166" s="73"/>
      <c r="AX166" s="73"/>
      <c r="AY166" s="73"/>
      <c r="AZ166" s="73"/>
      <c r="BA166" s="73"/>
      <c r="BB166" s="81"/>
    </row>
    <row r="167" spans="1:54" x14ac:dyDescent="0.3">
      <c r="A167" s="89" t="s">
        <v>237</v>
      </c>
      <c r="B167" s="89" t="s">
        <v>376</v>
      </c>
      <c r="C167" s="80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81"/>
      <c r="P167" s="80"/>
      <c r="Q167" s="73"/>
      <c r="R167" s="73"/>
      <c r="S167" s="73"/>
      <c r="T167" s="73"/>
      <c r="U167" s="73"/>
      <c r="V167" s="73"/>
      <c r="W167" s="73"/>
      <c r="X167" s="73"/>
      <c r="Y167" s="73"/>
      <c r="Z167" s="73"/>
      <c r="AA167" s="73"/>
      <c r="AB167" s="81"/>
      <c r="AC167" s="80"/>
      <c r="AD167" s="73"/>
      <c r="AE167" s="73"/>
      <c r="AF167" s="73"/>
      <c r="AG167" s="73"/>
      <c r="AH167" s="73"/>
      <c r="AI167" s="73"/>
      <c r="AJ167" s="73"/>
      <c r="AK167" s="73"/>
      <c r="AL167" s="73"/>
      <c r="AM167" s="73"/>
      <c r="AN167" s="73"/>
      <c r="AO167" s="81"/>
      <c r="AP167" s="80"/>
      <c r="AQ167" s="73"/>
      <c r="AR167" s="73"/>
      <c r="AS167" s="73"/>
      <c r="AT167" s="73"/>
      <c r="AU167" s="73"/>
      <c r="AV167" s="73"/>
      <c r="AW167" s="73"/>
      <c r="AX167" s="73"/>
      <c r="AY167" s="73"/>
      <c r="AZ167" s="73"/>
      <c r="BA167" s="73"/>
      <c r="BB167" s="81"/>
    </row>
    <row r="168" spans="1:54" x14ac:dyDescent="0.3">
      <c r="A168" s="89" t="s">
        <v>237</v>
      </c>
      <c r="B168" s="89" t="s">
        <v>378</v>
      </c>
      <c r="C168" s="80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81"/>
      <c r="P168" s="80"/>
      <c r="Q168" s="73"/>
      <c r="R168" s="73"/>
      <c r="S168" s="73"/>
      <c r="T168" s="73"/>
      <c r="U168" s="73"/>
      <c r="V168" s="73"/>
      <c r="W168" s="73"/>
      <c r="X168" s="73"/>
      <c r="Y168" s="73"/>
      <c r="Z168" s="73"/>
      <c r="AA168" s="73"/>
      <c r="AB168" s="81"/>
      <c r="AC168" s="80"/>
      <c r="AD168" s="73"/>
      <c r="AE168" s="73"/>
      <c r="AF168" s="73"/>
      <c r="AG168" s="73"/>
      <c r="AH168" s="73"/>
      <c r="AI168" s="73"/>
      <c r="AJ168" s="73"/>
      <c r="AK168" s="73"/>
      <c r="AL168" s="73"/>
      <c r="AM168" s="73"/>
      <c r="AN168" s="73"/>
      <c r="AO168" s="81"/>
      <c r="AP168" s="80"/>
      <c r="AQ168" s="73"/>
      <c r="AR168" s="73"/>
      <c r="AS168" s="73"/>
      <c r="AT168" s="73"/>
      <c r="AU168" s="73"/>
      <c r="AV168" s="73"/>
      <c r="AW168" s="73"/>
      <c r="AX168" s="73"/>
      <c r="AY168" s="73"/>
      <c r="AZ168" s="73"/>
      <c r="BA168" s="73"/>
      <c r="BB168" s="81"/>
    </row>
    <row r="169" spans="1:54" x14ac:dyDescent="0.3">
      <c r="A169" s="89" t="s">
        <v>237</v>
      </c>
      <c r="B169" s="89" t="s">
        <v>380</v>
      </c>
      <c r="C169" s="80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81"/>
      <c r="P169" s="80"/>
      <c r="Q169" s="73"/>
      <c r="R169" s="73"/>
      <c r="S169" s="73"/>
      <c r="T169" s="73"/>
      <c r="U169" s="73"/>
      <c r="V169" s="73"/>
      <c r="W169" s="73"/>
      <c r="X169" s="73"/>
      <c r="Y169" s="73"/>
      <c r="Z169" s="73"/>
      <c r="AA169" s="73"/>
      <c r="AB169" s="81"/>
      <c r="AC169" s="80"/>
      <c r="AD169" s="73"/>
      <c r="AE169" s="73"/>
      <c r="AF169" s="73"/>
      <c r="AG169" s="73"/>
      <c r="AH169" s="73"/>
      <c r="AI169" s="73"/>
      <c r="AJ169" s="73"/>
      <c r="AK169" s="73"/>
      <c r="AL169" s="73"/>
      <c r="AM169" s="73"/>
      <c r="AN169" s="73"/>
      <c r="AO169" s="81"/>
      <c r="AP169" s="80"/>
      <c r="AQ169" s="73"/>
      <c r="AR169" s="73"/>
      <c r="AS169" s="73"/>
      <c r="AT169" s="73"/>
      <c r="AU169" s="73"/>
      <c r="AV169" s="73"/>
      <c r="AW169" s="73"/>
      <c r="AX169" s="73"/>
      <c r="AY169" s="73"/>
      <c r="AZ169" s="73"/>
      <c r="BA169" s="73"/>
      <c r="BB169" s="81"/>
    </row>
    <row r="170" spans="1:54" x14ac:dyDescent="0.3">
      <c r="A170" s="89" t="s">
        <v>237</v>
      </c>
      <c r="B170" s="89" t="s">
        <v>382</v>
      </c>
      <c r="C170" s="80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81"/>
      <c r="P170" s="80"/>
      <c r="Q170" s="73"/>
      <c r="R170" s="73"/>
      <c r="S170" s="73"/>
      <c r="T170" s="73"/>
      <c r="U170" s="73"/>
      <c r="V170" s="73"/>
      <c r="W170" s="73"/>
      <c r="X170" s="73"/>
      <c r="Y170" s="73"/>
      <c r="Z170" s="73"/>
      <c r="AA170" s="73"/>
      <c r="AB170" s="81"/>
      <c r="AC170" s="80"/>
      <c r="AD170" s="73"/>
      <c r="AE170" s="73"/>
      <c r="AF170" s="73"/>
      <c r="AG170" s="73"/>
      <c r="AH170" s="73"/>
      <c r="AI170" s="73"/>
      <c r="AJ170" s="73"/>
      <c r="AK170" s="73"/>
      <c r="AL170" s="73"/>
      <c r="AM170" s="73"/>
      <c r="AN170" s="73"/>
      <c r="AO170" s="81"/>
      <c r="AP170" s="80"/>
      <c r="AQ170" s="73"/>
      <c r="AR170" s="73"/>
      <c r="AS170" s="73"/>
      <c r="AT170" s="73"/>
      <c r="AU170" s="73"/>
      <c r="AV170" s="73"/>
      <c r="AW170" s="73"/>
      <c r="AX170" s="73"/>
      <c r="AY170" s="73"/>
      <c r="AZ170" s="73"/>
      <c r="BA170" s="73"/>
      <c r="BB170" s="81"/>
    </row>
    <row r="171" spans="1:54" x14ac:dyDescent="0.3">
      <c r="A171" s="89" t="s">
        <v>237</v>
      </c>
      <c r="B171" s="89" t="s">
        <v>384</v>
      </c>
      <c r="C171" s="80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81"/>
      <c r="P171" s="80"/>
      <c r="Q171" s="73"/>
      <c r="R171" s="73"/>
      <c r="S171" s="73"/>
      <c r="T171" s="73"/>
      <c r="U171" s="73"/>
      <c r="V171" s="73"/>
      <c r="W171" s="73"/>
      <c r="X171" s="73"/>
      <c r="Y171" s="73"/>
      <c r="Z171" s="73"/>
      <c r="AA171" s="73"/>
      <c r="AB171" s="81"/>
      <c r="AC171" s="80"/>
      <c r="AD171" s="73"/>
      <c r="AE171" s="73"/>
      <c r="AF171" s="73"/>
      <c r="AG171" s="73"/>
      <c r="AH171" s="73"/>
      <c r="AI171" s="73"/>
      <c r="AJ171" s="73"/>
      <c r="AK171" s="73"/>
      <c r="AL171" s="73"/>
      <c r="AM171" s="73"/>
      <c r="AN171" s="73"/>
      <c r="AO171" s="81"/>
      <c r="AP171" s="80"/>
      <c r="AQ171" s="73"/>
      <c r="AR171" s="73"/>
      <c r="AS171" s="73"/>
      <c r="AT171" s="73"/>
      <c r="AU171" s="73"/>
      <c r="AV171" s="73"/>
      <c r="AW171" s="73"/>
      <c r="AX171" s="73"/>
      <c r="AY171" s="73"/>
      <c r="AZ171" s="73"/>
      <c r="BA171" s="73"/>
      <c r="BB171" s="81"/>
    </row>
    <row r="172" spans="1:54" x14ac:dyDescent="0.3">
      <c r="A172" s="89" t="s">
        <v>237</v>
      </c>
      <c r="B172" s="89" t="s">
        <v>386</v>
      </c>
      <c r="C172" s="80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81"/>
      <c r="P172" s="80"/>
      <c r="Q172" s="73"/>
      <c r="R172" s="73"/>
      <c r="S172" s="73"/>
      <c r="T172" s="73"/>
      <c r="U172" s="73"/>
      <c r="V172" s="73"/>
      <c r="W172" s="73"/>
      <c r="X172" s="73"/>
      <c r="Y172" s="73"/>
      <c r="Z172" s="73"/>
      <c r="AA172" s="73"/>
      <c r="AB172" s="81"/>
      <c r="AC172" s="80"/>
      <c r="AD172" s="73"/>
      <c r="AE172" s="73"/>
      <c r="AF172" s="73"/>
      <c r="AG172" s="73"/>
      <c r="AH172" s="73"/>
      <c r="AI172" s="73"/>
      <c r="AJ172" s="73"/>
      <c r="AK172" s="73"/>
      <c r="AL172" s="73"/>
      <c r="AM172" s="73"/>
      <c r="AN172" s="73"/>
      <c r="AO172" s="81"/>
      <c r="AP172" s="80"/>
      <c r="AQ172" s="73"/>
      <c r="AR172" s="73"/>
      <c r="AS172" s="73"/>
      <c r="AT172" s="73"/>
      <c r="AU172" s="73"/>
      <c r="AV172" s="73"/>
      <c r="AW172" s="73"/>
      <c r="AX172" s="73"/>
      <c r="AY172" s="73"/>
      <c r="AZ172" s="73"/>
      <c r="BA172" s="73"/>
      <c r="BB172" s="81"/>
    </row>
    <row r="173" spans="1:54" x14ac:dyDescent="0.3">
      <c r="A173" s="89" t="s">
        <v>237</v>
      </c>
      <c r="B173" s="89" t="s">
        <v>387</v>
      </c>
      <c r="C173" s="80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81"/>
      <c r="P173" s="80"/>
      <c r="Q173" s="73"/>
      <c r="R173" s="73"/>
      <c r="S173" s="73"/>
      <c r="T173" s="73"/>
      <c r="U173" s="73"/>
      <c r="V173" s="73"/>
      <c r="W173" s="73"/>
      <c r="X173" s="73"/>
      <c r="Y173" s="73"/>
      <c r="Z173" s="73"/>
      <c r="AA173" s="73"/>
      <c r="AB173" s="81"/>
      <c r="AC173" s="80"/>
      <c r="AD173" s="73"/>
      <c r="AE173" s="73"/>
      <c r="AF173" s="73"/>
      <c r="AG173" s="73"/>
      <c r="AH173" s="73"/>
      <c r="AI173" s="73"/>
      <c r="AJ173" s="73"/>
      <c r="AK173" s="73"/>
      <c r="AL173" s="73"/>
      <c r="AM173" s="73"/>
      <c r="AN173" s="73"/>
      <c r="AO173" s="81"/>
      <c r="AP173" s="80"/>
      <c r="AQ173" s="73"/>
      <c r="AR173" s="73"/>
      <c r="AS173" s="73"/>
      <c r="AT173" s="73"/>
      <c r="AU173" s="73"/>
      <c r="AV173" s="73"/>
      <c r="AW173" s="73"/>
      <c r="AX173" s="73"/>
      <c r="AY173" s="73"/>
      <c r="AZ173" s="73"/>
      <c r="BA173" s="73"/>
      <c r="BB173" s="81"/>
    </row>
    <row r="174" spans="1:54" x14ac:dyDescent="0.3">
      <c r="A174" s="89" t="s">
        <v>232</v>
      </c>
      <c r="B174" s="89" t="s">
        <v>389</v>
      </c>
      <c r="C174" s="80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81"/>
      <c r="P174" s="80"/>
      <c r="Q174" s="73"/>
      <c r="R174" s="73"/>
      <c r="S174" s="73"/>
      <c r="T174" s="73"/>
      <c r="U174" s="73"/>
      <c r="V174" s="73"/>
      <c r="W174" s="73"/>
      <c r="X174" s="73"/>
      <c r="Y174" s="73"/>
      <c r="Z174" s="73"/>
      <c r="AA174" s="73"/>
      <c r="AB174" s="81"/>
      <c r="AC174" s="80"/>
      <c r="AD174" s="73"/>
      <c r="AE174" s="73"/>
      <c r="AF174" s="73"/>
      <c r="AG174" s="73"/>
      <c r="AH174" s="73"/>
      <c r="AI174" s="73"/>
      <c r="AJ174" s="73"/>
      <c r="AK174" s="73"/>
      <c r="AL174" s="73"/>
      <c r="AM174" s="73"/>
      <c r="AN174" s="73"/>
      <c r="AO174" s="81"/>
      <c r="AP174" s="80"/>
      <c r="AQ174" s="73"/>
      <c r="AR174" s="73"/>
      <c r="AS174" s="73"/>
      <c r="AT174" s="73"/>
      <c r="AU174" s="73"/>
      <c r="AV174" s="73"/>
      <c r="AW174" s="73"/>
      <c r="AX174" s="73"/>
      <c r="AY174" s="73"/>
      <c r="AZ174" s="73"/>
      <c r="BA174" s="73"/>
      <c r="BB174" s="81"/>
    </row>
    <row r="175" spans="1:54" x14ac:dyDescent="0.3">
      <c r="A175" s="89" t="s">
        <v>44</v>
      </c>
      <c r="B175" s="89" t="s">
        <v>391</v>
      </c>
      <c r="C175" s="80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81"/>
      <c r="P175" s="80"/>
      <c r="Q175" s="73"/>
      <c r="R175" s="73"/>
      <c r="S175" s="73"/>
      <c r="T175" s="73"/>
      <c r="U175" s="73"/>
      <c r="V175" s="73"/>
      <c r="W175" s="73"/>
      <c r="X175" s="73"/>
      <c r="Y175" s="73"/>
      <c r="Z175" s="73"/>
      <c r="AA175" s="73"/>
      <c r="AB175" s="81"/>
      <c r="AC175" s="80"/>
      <c r="AD175" s="73"/>
      <c r="AE175" s="73"/>
      <c r="AF175" s="73"/>
      <c r="AG175" s="73"/>
      <c r="AH175" s="73"/>
      <c r="AI175" s="73"/>
      <c r="AJ175" s="73"/>
      <c r="AK175" s="73"/>
      <c r="AL175" s="73"/>
      <c r="AM175" s="73"/>
      <c r="AN175" s="73"/>
      <c r="AO175" s="81"/>
      <c r="AP175" s="80"/>
      <c r="AQ175" s="73"/>
      <c r="AR175" s="73"/>
      <c r="AS175" s="73"/>
      <c r="AT175" s="73"/>
      <c r="AU175" s="73"/>
      <c r="AV175" s="73"/>
      <c r="AW175" s="73"/>
      <c r="AX175" s="73"/>
      <c r="AY175" s="73"/>
      <c r="AZ175" s="73"/>
      <c r="BA175" s="73"/>
      <c r="BB175" s="81"/>
    </row>
    <row r="176" spans="1:54" x14ac:dyDescent="0.3">
      <c r="A176" s="89" t="s">
        <v>44</v>
      </c>
      <c r="B176" s="89" t="s">
        <v>393</v>
      </c>
      <c r="C176" s="80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81"/>
      <c r="P176" s="80"/>
      <c r="Q176" s="73"/>
      <c r="R176" s="73"/>
      <c r="S176" s="73"/>
      <c r="T176" s="73"/>
      <c r="U176" s="73"/>
      <c r="V176" s="73"/>
      <c r="W176" s="73"/>
      <c r="X176" s="73"/>
      <c r="Y176" s="73"/>
      <c r="Z176" s="73"/>
      <c r="AA176" s="73"/>
      <c r="AB176" s="81"/>
      <c r="AC176" s="80"/>
      <c r="AD176" s="73"/>
      <c r="AE176" s="73"/>
      <c r="AF176" s="73"/>
      <c r="AG176" s="73"/>
      <c r="AH176" s="73"/>
      <c r="AI176" s="73"/>
      <c r="AJ176" s="73"/>
      <c r="AK176" s="73"/>
      <c r="AL176" s="73"/>
      <c r="AM176" s="73"/>
      <c r="AN176" s="73"/>
      <c r="AO176" s="81"/>
      <c r="AP176" s="80"/>
      <c r="AQ176" s="73"/>
      <c r="AR176" s="73"/>
      <c r="AS176" s="73"/>
      <c r="AT176" s="73"/>
      <c r="AU176" s="73"/>
      <c r="AV176" s="73"/>
      <c r="AW176" s="73"/>
      <c r="AX176" s="73"/>
      <c r="AY176" s="73"/>
      <c r="AZ176" s="73"/>
      <c r="BA176" s="73"/>
      <c r="BB176" s="81"/>
    </row>
    <row r="177" spans="1:54" x14ac:dyDescent="0.3">
      <c r="A177" s="89" t="s">
        <v>44</v>
      </c>
      <c r="B177" s="89" t="s">
        <v>395</v>
      </c>
      <c r="C177" s="80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81"/>
      <c r="P177" s="80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81"/>
      <c r="AC177" s="80"/>
      <c r="AD177" s="73"/>
      <c r="AE177" s="73"/>
      <c r="AF177" s="73"/>
      <c r="AG177" s="73"/>
      <c r="AH177" s="73"/>
      <c r="AI177" s="73"/>
      <c r="AJ177" s="73"/>
      <c r="AK177" s="73"/>
      <c r="AL177" s="73"/>
      <c r="AM177" s="73"/>
      <c r="AN177" s="73"/>
      <c r="AO177" s="81"/>
      <c r="AP177" s="80"/>
      <c r="AQ177" s="73"/>
      <c r="AR177" s="73"/>
      <c r="AS177" s="73"/>
      <c r="AT177" s="73"/>
      <c r="AU177" s="73"/>
      <c r="AV177" s="73"/>
      <c r="AW177" s="73"/>
      <c r="AX177" s="73"/>
      <c r="AY177" s="73"/>
      <c r="AZ177" s="73"/>
      <c r="BA177" s="73"/>
      <c r="BB177" s="81"/>
    </row>
    <row r="178" spans="1:54" x14ac:dyDescent="0.3">
      <c r="A178" s="89" t="s">
        <v>44</v>
      </c>
      <c r="B178" s="89" t="s">
        <v>397</v>
      </c>
      <c r="C178" s="80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81"/>
      <c r="P178" s="80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81"/>
      <c r="AC178" s="80"/>
      <c r="AD178" s="73"/>
      <c r="AE178" s="73"/>
      <c r="AF178" s="73"/>
      <c r="AG178" s="73"/>
      <c r="AH178" s="73"/>
      <c r="AI178" s="73"/>
      <c r="AJ178" s="73"/>
      <c r="AK178" s="73"/>
      <c r="AL178" s="73"/>
      <c r="AM178" s="73"/>
      <c r="AN178" s="73"/>
      <c r="AO178" s="81"/>
      <c r="AP178" s="80"/>
      <c r="AQ178" s="73"/>
      <c r="AR178" s="73"/>
      <c r="AS178" s="73"/>
      <c r="AT178" s="73"/>
      <c r="AU178" s="73"/>
      <c r="AV178" s="73"/>
      <c r="AW178" s="73"/>
      <c r="AX178" s="73"/>
      <c r="AY178" s="73"/>
      <c r="AZ178" s="73"/>
      <c r="BA178" s="73"/>
      <c r="BB178" s="81"/>
    </row>
    <row r="179" spans="1:54" x14ac:dyDescent="0.3">
      <c r="A179" s="89" t="s">
        <v>108</v>
      </c>
      <c r="B179" s="89" t="s">
        <v>399</v>
      </c>
      <c r="C179" s="80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81"/>
      <c r="P179" s="80"/>
      <c r="Q179" s="73"/>
      <c r="R179" s="73"/>
      <c r="S179" s="73"/>
      <c r="T179" s="73"/>
      <c r="U179" s="73"/>
      <c r="V179" s="73"/>
      <c r="W179" s="73"/>
      <c r="X179" s="73"/>
      <c r="Y179" s="73"/>
      <c r="Z179" s="73"/>
      <c r="AA179" s="73"/>
      <c r="AB179" s="81"/>
      <c r="AC179" s="80"/>
      <c r="AD179" s="73"/>
      <c r="AE179" s="73"/>
      <c r="AF179" s="73"/>
      <c r="AG179" s="73"/>
      <c r="AH179" s="73"/>
      <c r="AI179" s="73"/>
      <c r="AJ179" s="73"/>
      <c r="AK179" s="73"/>
      <c r="AL179" s="73"/>
      <c r="AM179" s="73"/>
      <c r="AN179" s="73"/>
      <c r="AO179" s="81"/>
      <c r="AP179" s="80"/>
      <c r="AQ179" s="73"/>
      <c r="AR179" s="73"/>
      <c r="AS179" s="73"/>
      <c r="AT179" s="73"/>
      <c r="AU179" s="73"/>
      <c r="AV179" s="73"/>
      <c r="AW179" s="73"/>
      <c r="AX179" s="73"/>
      <c r="AY179" s="73"/>
      <c r="AZ179" s="73"/>
      <c r="BA179" s="73"/>
      <c r="BB179" s="81"/>
    </row>
    <row r="180" spans="1:54" ht="15" thickBot="1" x14ac:dyDescent="0.35">
      <c r="A180" s="148" t="s">
        <v>44</v>
      </c>
      <c r="B180" s="148" t="s">
        <v>401</v>
      </c>
      <c r="C180" s="82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4"/>
      <c r="P180" s="82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4"/>
      <c r="AC180" s="82"/>
      <c r="AD180" s="83"/>
      <c r="AE180" s="83"/>
      <c r="AF180" s="83"/>
      <c r="AG180" s="83"/>
      <c r="AH180" s="83"/>
      <c r="AI180" s="83"/>
      <c r="AJ180" s="83"/>
      <c r="AK180" s="83"/>
      <c r="AL180" s="83"/>
      <c r="AM180" s="83"/>
      <c r="AN180" s="83"/>
      <c r="AO180" s="84"/>
      <c r="AP180" s="82"/>
      <c r="AQ180" s="83"/>
      <c r="AR180" s="83"/>
      <c r="AS180" s="83"/>
      <c r="AT180" s="83"/>
      <c r="AU180" s="83"/>
      <c r="AV180" s="83"/>
      <c r="AW180" s="83"/>
      <c r="AX180" s="83"/>
      <c r="AY180" s="83"/>
      <c r="AZ180" s="83"/>
      <c r="BA180" s="83"/>
      <c r="BB180" s="84"/>
    </row>
  </sheetData>
  <mergeCells count="14">
    <mergeCell ref="AC2:AN2"/>
    <mergeCell ref="AO2:AO3"/>
    <mergeCell ref="AP2:BA2"/>
    <mergeCell ref="BB2:BB3"/>
    <mergeCell ref="A1:A3"/>
    <mergeCell ref="B1:B3"/>
    <mergeCell ref="C1:O1"/>
    <mergeCell ref="P1:AB1"/>
    <mergeCell ref="AC1:AO1"/>
    <mergeCell ref="AP1:BB1"/>
    <mergeCell ref="C2:N2"/>
    <mergeCell ref="O2:O3"/>
    <mergeCell ref="P2:AA2"/>
    <mergeCell ref="AB2:AB3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4CFD2-8BD8-4F98-B019-E2FB6B9E9FFF}">
  <dimension ref="A2:AK145"/>
  <sheetViews>
    <sheetView workbookViewId="0"/>
  </sheetViews>
  <sheetFormatPr defaultRowHeight="14.4" x14ac:dyDescent="0.3"/>
  <cols>
    <col min="1" max="1" width="17" customWidth="1"/>
    <col min="4" max="4" width="15.44140625" customWidth="1"/>
    <col min="12" max="12" width="15.109375" customWidth="1"/>
    <col min="13" max="13" width="28.5546875" customWidth="1"/>
    <col min="14" max="14" width="18.33203125" customWidth="1"/>
    <col min="15" max="15" width="16.44140625" customWidth="1"/>
    <col min="19" max="19" width="13.33203125" customWidth="1"/>
    <col min="20" max="20" width="20.33203125" customWidth="1"/>
    <col min="27" max="27" width="13.6640625" customWidth="1"/>
    <col min="34" max="34" width="3.6640625" customWidth="1"/>
    <col min="36" max="36" width="12.6640625" customWidth="1"/>
    <col min="37" max="37" width="48.6640625" customWidth="1"/>
  </cols>
  <sheetData>
    <row r="2" spans="1:33" x14ac:dyDescent="0.3">
      <c r="AG2" s="157">
        <f>SUM(AG5:AG145)</f>
        <v>2438.953868999999</v>
      </c>
    </row>
    <row r="3" spans="1:33" x14ac:dyDescent="0.3">
      <c r="A3" s="198" t="s">
        <v>477</v>
      </c>
      <c r="B3" s="198"/>
      <c r="C3" s="198"/>
      <c r="D3" s="198"/>
      <c r="E3" s="198"/>
      <c r="F3" s="198"/>
      <c r="G3" s="198"/>
      <c r="H3" s="198"/>
      <c r="I3" s="198" t="s">
        <v>478</v>
      </c>
      <c r="J3" s="198"/>
      <c r="K3" s="198"/>
      <c r="L3" s="198"/>
      <c r="M3" s="198" t="s">
        <v>479</v>
      </c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 t="s">
        <v>480</v>
      </c>
      <c r="Y3" s="198"/>
      <c r="Z3" s="198"/>
      <c r="AA3" s="198" t="s">
        <v>481</v>
      </c>
      <c r="AB3" s="198"/>
      <c r="AC3" s="198"/>
      <c r="AD3" s="198"/>
      <c r="AE3" s="198" t="s">
        <v>482</v>
      </c>
      <c r="AF3" s="198"/>
      <c r="AG3" s="198"/>
    </row>
    <row r="4" spans="1:33" x14ac:dyDescent="0.3">
      <c r="A4" s="158" t="s">
        <v>483</v>
      </c>
      <c r="B4" s="158" t="s">
        <v>484</v>
      </c>
      <c r="C4" s="158" t="s">
        <v>485</v>
      </c>
      <c r="D4" s="158" t="s">
        <v>486</v>
      </c>
      <c r="E4" s="158" t="s">
        <v>487</v>
      </c>
      <c r="F4" s="158" t="s">
        <v>488</v>
      </c>
      <c r="G4" s="158" t="s">
        <v>489</v>
      </c>
      <c r="H4" s="158" t="s">
        <v>490</v>
      </c>
      <c r="I4" s="158" t="s">
        <v>491</v>
      </c>
      <c r="J4" s="158" t="s">
        <v>492</v>
      </c>
      <c r="K4" s="158" t="s">
        <v>493</v>
      </c>
      <c r="L4" s="158" t="s">
        <v>494</v>
      </c>
      <c r="M4" s="158" t="s">
        <v>495</v>
      </c>
      <c r="N4" s="158" t="s">
        <v>486</v>
      </c>
      <c r="O4" s="158" t="s">
        <v>487</v>
      </c>
      <c r="P4" s="158" t="s">
        <v>488</v>
      </c>
      <c r="Q4" s="158" t="s">
        <v>489</v>
      </c>
      <c r="R4" s="158" t="s">
        <v>490</v>
      </c>
      <c r="S4" s="158" t="s">
        <v>496</v>
      </c>
      <c r="T4" s="158" t="s">
        <v>7</v>
      </c>
      <c r="U4" s="158" t="s">
        <v>497</v>
      </c>
      <c r="V4" s="158" t="s">
        <v>498</v>
      </c>
      <c r="W4" s="158" t="s">
        <v>499</v>
      </c>
      <c r="X4" s="158" t="s">
        <v>500</v>
      </c>
      <c r="Y4" s="158" t="s">
        <v>501</v>
      </c>
      <c r="Z4" s="158" t="s">
        <v>502</v>
      </c>
      <c r="AA4" s="158" t="s">
        <v>503</v>
      </c>
      <c r="AB4" s="158" t="s">
        <v>9</v>
      </c>
      <c r="AC4" s="158" t="s">
        <v>489</v>
      </c>
      <c r="AD4" s="158" t="s">
        <v>490</v>
      </c>
      <c r="AE4" s="158" t="s">
        <v>504</v>
      </c>
      <c r="AF4" s="158" t="s">
        <v>505</v>
      </c>
      <c r="AG4" s="158" t="s">
        <v>506</v>
      </c>
    </row>
    <row r="5" spans="1:33" x14ac:dyDescent="0.3">
      <c r="A5" s="159" t="s">
        <v>507</v>
      </c>
      <c r="B5" s="160" t="s">
        <v>508</v>
      </c>
      <c r="C5" s="160" t="s">
        <v>509</v>
      </c>
      <c r="D5" s="159" t="s">
        <v>510</v>
      </c>
      <c r="E5" s="159">
        <v>42</v>
      </c>
      <c r="F5" s="159">
        <v>3</v>
      </c>
      <c r="G5" s="159" t="s">
        <v>511</v>
      </c>
      <c r="H5" s="159">
        <v>69081</v>
      </c>
      <c r="I5" s="159" t="s">
        <v>512</v>
      </c>
      <c r="J5" s="159" t="s">
        <v>513</v>
      </c>
      <c r="K5" s="159" t="s">
        <v>514</v>
      </c>
      <c r="L5" s="159" t="s">
        <v>515</v>
      </c>
      <c r="M5" s="159" t="s">
        <v>401</v>
      </c>
      <c r="N5" s="159" t="s">
        <v>516</v>
      </c>
      <c r="O5" s="159" t="s">
        <v>517</v>
      </c>
      <c r="P5" s="159">
        <v>20</v>
      </c>
      <c r="Q5" s="159" t="s">
        <v>511</v>
      </c>
      <c r="R5" s="159">
        <v>69002</v>
      </c>
      <c r="S5" s="159" t="s">
        <v>518</v>
      </c>
      <c r="T5" s="160" t="s">
        <v>400</v>
      </c>
      <c r="U5" s="159" t="s">
        <v>519</v>
      </c>
      <c r="V5" s="159" t="s">
        <v>520</v>
      </c>
      <c r="W5" s="161">
        <v>10</v>
      </c>
      <c r="X5" s="159"/>
      <c r="Y5" s="159"/>
      <c r="Z5" s="159"/>
      <c r="AA5" s="159" t="s">
        <v>44</v>
      </c>
      <c r="AB5" s="159" t="s">
        <v>521</v>
      </c>
      <c r="AC5" s="159" t="s">
        <v>511</v>
      </c>
      <c r="AD5" s="159">
        <v>69002</v>
      </c>
      <c r="AE5" s="162">
        <v>0.15557099999999999</v>
      </c>
      <c r="AF5" s="162">
        <v>0</v>
      </c>
      <c r="AG5" s="162">
        <f>AF5+AE5</f>
        <v>0.15557099999999999</v>
      </c>
    </row>
    <row r="6" spans="1:33" x14ac:dyDescent="0.3">
      <c r="A6" s="159" t="s">
        <v>507</v>
      </c>
      <c r="B6" s="160" t="s">
        <v>508</v>
      </c>
      <c r="C6" s="160" t="s">
        <v>509</v>
      </c>
      <c r="D6" s="159" t="s">
        <v>510</v>
      </c>
      <c r="E6" s="159">
        <v>42</v>
      </c>
      <c r="F6" s="159">
        <v>3</v>
      </c>
      <c r="G6" s="159" t="s">
        <v>511</v>
      </c>
      <c r="H6" s="159">
        <v>69081</v>
      </c>
      <c r="I6" s="159" t="s">
        <v>512</v>
      </c>
      <c r="J6" s="159" t="s">
        <v>513</v>
      </c>
      <c r="K6" s="159" t="s">
        <v>514</v>
      </c>
      <c r="L6" s="159" t="s">
        <v>515</v>
      </c>
      <c r="M6" s="159" t="s">
        <v>401</v>
      </c>
      <c r="N6" s="159" t="s">
        <v>522</v>
      </c>
      <c r="O6" s="159" t="s">
        <v>523</v>
      </c>
      <c r="P6" s="159">
        <v>31</v>
      </c>
      <c r="Q6" s="159" t="s">
        <v>511</v>
      </c>
      <c r="R6" s="159">
        <v>69141</v>
      </c>
      <c r="S6" s="159" t="s">
        <v>518</v>
      </c>
      <c r="T6" s="160" t="s">
        <v>199</v>
      </c>
      <c r="U6" s="159" t="s">
        <v>519</v>
      </c>
      <c r="V6" s="159" t="s">
        <v>520</v>
      </c>
      <c r="W6" s="161">
        <v>10</v>
      </c>
      <c r="X6" s="159"/>
      <c r="Y6" s="159"/>
      <c r="Z6" s="159"/>
      <c r="AA6" s="159" t="s">
        <v>44</v>
      </c>
      <c r="AB6" s="159" t="s">
        <v>521</v>
      </c>
      <c r="AC6" s="159" t="s">
        <v>511</v>
      </c>
      <c r="AD6" s="159">
        <v>69002</v>
      </c>
      <c r="AE6" s="162">
        <v>0.15648999999999999</v>
      </c>
      <c r="AF6" s="162">
        <v>0</v>
      </c>
      <c r="AG6" s="162">
        <f t="shared" ref="AG6:AG69" si="0">AF6+AE6</f>
        <v>0.15648999999999999</v>
      </c>
    </row>
    <row r="7" spans="1:33" x14ac:dyDescent="0.3">
      <c r="A7" s="159" t="s">
        <v>507</v>
      </c>
      <c r="B7" s="160" t="s">
        <v>508</v>
      </c>
      <c r="C7" s="160" t="s">
        <v>509</v>
      </c>
      <c r="D7" s="159" t="s">
        <v>510</v>
      </c>
      <c r="E7" s="159">
        <v>42</v>
      </c>
      <c r="F7" s="159">
        <v>3</v>
      </c>
      <c r="G7" s="159" t="s">
        <v>511</v>
      </c>
      <c r="H7" s="159">
        <v>69081</v>
      </c>
      <c r="I7" s="159" t="s">
        <v>512</v>
      </c>
      <c r="J7" s="159" t="s">
        <v>513</v>
      </c>
      <c r="K7" s="159" t="s">
        <v>514</v>
      </c>
      <c r="L7" s="159" t="s">
        <v>515</v>
      </c>
      <c r="M7" s="159" t="s">
        <v>401</v>
      </c>
      <c r="N7" s="159" t="s">
        <v>524</v>
      </c>
      <c r="O7" s="159" t="s">
        <v>525</v>
      </c>
      <c r="P7" s="159"/>
      <c r="Q7" s="159" t="s">
        <v>511</v>
      </c>
      <c r="R7" s="159">
        <v>69002</v>
      </c>
      <c r="S7" s="159" t="s">
        <v>518</v>
      </c>
      <c r="T7" s="160" t="s">
        <v>201</v>
      </c>
      <c r="U7" s="159" t="s">
        <v>519</v>
      </c>
      <c r="V7" s="159" t="s">
        <v>520</v>
      </c>
      <c r="W7" s="161">
        <v>10</v>
      </c>
      <c r="X7" s="159"/>
      <c r="Y7" s="159"/>
      <c r="Z7" s="159"/>
      <c r="AA7" s="159" t="s">
        <v>44</v>
      </c>
      <c r="AB7" s="159" t="s">
        <v>521</v>
      </c>
      <c r="AC7" s="159" t="s">
        <v>511</v>
      </c>
      <c r="AD7" s="159">
        <v>69002</v>
      </c>
      <c r="AE7" s="162">
        <v>0.14916499999999999</v>
      </c>
      <c r="AF7" s="162">
        <v>0</v>
      </c>
      <c r="AG7" s="162">
        <f t="shared" si="0"/>
        <v>0.14916499999999999</v>
      </c>
    </row>
    <row r="8" spans="1:33" x14ac:dyDescent="0.3">
      <c r="A8" s="159" t="s">
        <v>507</v>
      </c>
      <c r="B8" s="160" t="s">
        <v>508</v>
      </c>
      <c r="C8" s="160" t="s">
        <v>509</v>
      </c>
      <c r="D8" s="159" t="s">
        <v>510</v>
      </c>
      <c r="E8" s="159">
        <v>42</v>
      </c>
      <c r="F8" s="159">
        <v>3</v>
      </c>
      <c r="G8" s="159" t="s">
        <v>511</v>
      </c>
      <c r="H8" s="159">
        <v>69081</v>
      </c>
      <c r="I8" s="159" t="s">
        <v>512</v>
      </c>
      <c r="J8" s="159" t="s">
        <v>513</v>
      </c>
      <c r="K8" s="159" t="s">
        <v>514</v>
      </c>
      <c r="L8" s="159" t="s">
        <v>515</v>
      </c>
      <c r="M8" s="159" t="s">
        <v>526</v>
      </c>
      <c r="N8" s="159" t="s">
        <v>527</v>
      </c>
      <c r="O8" s="159" t="s">
        <v>528</v>
      </c>
      <c r="P8" s="159">
        <v>1</v>
      </c>
      <c r="Q8" s="159" t="s">
        <v>511</v>
      </c>
      <c r="R8" s="159">
        <v>69002</v>
      </c>
      <c r="S8" s="159" t="s">
        <v>518</v>
      </c>
      <c r="T8" s="160" t="s">
        <v>177</v>
      </c>
      <c r="U8" s="159" t="s">
        <v>519</v>
      </c>
      <c r="V8" s="159" t="s">
        <v>520</v>
      </c>
      <c r="W8" s="161">
        <v>16</v>
      </c>
      <c r="X8" s="159"/>
      <c r="Y8" s="159"/>
      <c r="Z8" s="159"/>
      <c r="AA8" s="159" t="s">
        <v>44</v>
      </c>
      <c r="AB8" s="159" t="s">
        <v>521</v>
      </c>
      <c r="AC8" s="159" t="s">
        <v>511</v>
      </c>
      <c r="AD8" s="159">
        <v>69002</v>
      </c>
      <c r="AE8" s="162">
        <v>0.25087300000000001</v>
      </c>
      <c r="AF8" s="162">
        <v>0</v>
      </c>
      <c r="AG8" s="162">
        <f t="shared" si="0"/>
        <v>0.25087300000000001</v>
      </c>
    </row>
    <row r="9" spans="1:33" x14ac:dyDescent="0.3">
      <c r="A9" s="159" t="s">
        <v>507</v>
      </c>
      <c r="B9" s="160" t="s">
        <v>508</v>
      </c>
      <c r="C9" s="160" t="s">
        <v>509</v>
      </c>
      <c r="D9" s="159" t="s">
        <v>510</v>
      </c>
      <c r="E9" s="159">
        <v>42</v>
      </c>
      <c r="F9" s="159">
        <v>3</v>
      </c>
      <c r="G9" s="159" t="s">
        <v>511</v>
      </c>
      <c r="H9" s="159">
        <v>69081</v>
      </c>
      <c r="I9" s="159" t="s">
        <v>512</v>
      </c>
      <c r="J9" s="159" t="s">
        <v>513</v>
      </c>
      <c r="K9" s="159" t="s">
        <v>514</v>
      </c>
      <c r="L9" s="159" t="s">
        <v>515</v>
      </c>
      <c r="M9" s="159" t="s">
        <v>529</v>
      </c>
      <c r="N9" s="159" t="s">
        <v>530</v>
      </c>
      <c r="O9" s="159" t="s">
        <v>531</v>
      </c>
      <c r="P9" s="159" t="s">
        <v>532</v>
      </c>
      <c r="Q9" s="159" t="s">
        <v>511</v>
      </c>
      <c r="R9" s="159">
        <v>69141</v>
      </c>
      <c r="S9" s="159" t="s">
        <v>518</v>
      </c>
      <c r="T9" s="160" t="s">
        <v>195</v>
      </c>
      <c r="U9" s="159" t="s">
        <v>519</v>
      </c>
      <c r="V9" s="159" t="s">
        <v>520</v>
      </c>
      <c r="W9" s="161">
        <v>10</v>
      </c>
      <c r="X9" s="159"/>
      <c r="Y9" s="159"/>
      <c r="Z9" s="159"/>
      <c r="AA9" s="159" t="s">
        <v>44</v>
      </c>
      <c r="AB9" s="159" t="s">
        <v>521</v>
      </c>
      <c r="AC9" s="159" t="s">
        <v>511</v>
      </c>
      <c r="AD9" s="159">
        <v>69002</v>
      </c>
      <c r="AE9" s="162">
        <v>0.164434</v>
      </c>
      <c r="AF9" s="162">
        <v>0</v>
      </c>
      <c r="AG9" s="162">
        <f t="shared" si="0"/>
        <v>0.164434</v>
      </c>
    </row>
    <row r="10" spans="1:33" x14ac:dyDescent="0.3">
      <c r="A10" s="159" t="s">
        <v>507</v>
      </c>
      <c r="B10" s="160" t="s">
        <v>508</v>
      </c>
      <c r="C10" s="160" t="s">
        <v>509</v>
      </c>
      <c r="D10" s="159" t="s">
        <v>510</v>
      </c>
      <c r="E10" s="159">
        <v>42</v>
      </c>
      <c r="F10" s="159">
        <v>3</v>
      </c>
      <c r="G10" s="159" t="s">
        <v>511</v>
      </c>
      <c r="H10" s="159">
        <v>69081</v>
      </c>
      <c r="I10" s="159" t="s">
        <v>512</v>
      </c>
      <c r="J10" s="159" t="s">
        <v>513</v>
      </c>
      <c r="K10" s="159" t="s">
        <v>514</v>
      </c>
      <c r="L10" s="159" t="s">
        <v>515</v>
      </c>
      <c r="M10" s="159" t="s">
        <v>533</v>
      </c>
      <c r="N10" s="159" t="s">
        <v>534</v>
      </c>
      <c r="O10" s="159">
        <v>3411</v>
      </c>
      <c r="P10" s="159" t="s">
        <v>535</v>
      </c>
      <c r="Q10" s="159" t="s">
        <v>511</v>
      </c>
      <c r="R10" s="159">
        <v>69003</v>
      </c>
      <c r="S10" s="159" t="s">
        <v>518</v>
      </c>
      <c r="T10" s="160" t="s">
        <v>187</v>
      </c>
      <c r="U10" s="159" t="s">
        <v>519</v>
      </c>
      <c r="V10" s="159" t="s">
        <v>520</v>
      </c>
      <c r="W10" s="161">
        <v>10</v>
      </c>
      <c r="X10" s="159"/>
      <c r="Y10" s="159"/>
      <c r="Z10" s="159"/>
      <c r="AA10" s="159" t="s">
        <v>44</v>
      </c>
      <c r="AB10" s="159" t="s">
        <v>521</v>
      </c>
      <c r="AC10" s="159" t="s">
        <v>511</v>
      </c>
      <c r="AD10" s="159">
        <v>69002</v>
      </c>
      <c r="AE10" s="162">
        <v>0.17616899999999999</v>
      </c>
      <c r="AF10" s="162">
        <v>0</v>
      </c>
      <c r="AG10" s="162">
        <f t="shared" si="0"/>
        <v>0.17616899999999999</v>
      </c>
    </row>
    <row r="11" spans="1:33" x14ac:dyDescent="0.3">
      <c r="A11" s="159" t="s">
        <v>507</v>
      </c>
      <c r="B11" s="160" t="s">
        <v>508</v>
      </c>
      <c r="C11" s="160" t="s">
        <v>509</v>
      </c>
      <c r="D11" s="159" t="s">
        <v>510</v>
      </c>
      <c r="E11" s="159">
        <v>42</v>
      </c>
      <c r="F11" s="159">
        <v>3</v>
      </c>
      <c r="G11" s="159" t="s">
        <v>511</v>
      </c>
      <c r="H11" s="159">
        <v>69081</v>
      </c>
      <c r="I11" s="159" t="s">
        <v>512</v>
      </c>
      <c r="J11" s="159" t="s">
        <v>513</v>
      </c>
      <c r="K11" s="159" t="s">
        <v>514</v>
      </c>
      <c r="L11" s="159" t="s">
        <v>515</v>
      </c>
      <c r="M11" s="159" t="s">
        <v>536</v>
      </c>
      <c r="N11" s="159" t="s">
        <v>537</v>
      </c>
      <c r="O11" s="159" t="s">
        <v>538</v>
      </c>
      <c r="P11" s="159">
        <v>2</v>
      </c>
      <c r="Q11" s="159" t="s">
        <v>511</v>
      </c>
      <c r="R11" s="159">
        <v>69002</v>
      </c>
      <c r="S11" s="159" t="s">
        <v>518</v>
      </c>
      <c r="T11" s="160" t="s">
        <v>197</v>
      </c>
      <c r="U11" s="159" t="s">
        <v>519</v>
      </c>
      <c r="V11" s="159" t="s">
        <v>520</v>
      </c>
      <c r="W11" s="161">
        <v>10</v>
      </c>
      <c r="X11" s="159"/>
      <c r="Y11" s="159"/>
      <c r="Z11" s="159"/>
      <c r="AA11" s="159" t="s">
        <v>44</v>
      </c>
      <c r="AB11" s="159" t="s">
        <v>521</v>
      </c>
      <c r="AC11" s="159" t="s">
        <v>511</v>
      </c>
      <c r="AD11" s="159">
        <v>69002</v>
      </c>
      <c r="AE11" s="162">
        <v>0.16383</v>
      </c>
      <c r="AF11" s="162">
        <v>0</v>
      </c>
      <c r="AG11" s="162">
        <f t="shared" si="0"/>
        <v>0.16383</v>
      </c>
    </row>
    <row r="12" spans="1:33" x14ac:dyDescent="0.3">
      <c r="A12" s="159" t="s">
        <v>507</v>
      </c>
      <c r="B12" s="160" t="s">
        <v>508</v>
      </c>
      <c r="C12" s="160" t="s">
        <v>509</v>
      </c>
      <c r="D12" s="159" t="s">
        <v>510</v>
      </c>
      <c r="E12" s="159">
        <v>42</v>
      </c>
      <c r="F12" s="159">
        <v>3</v>
      </c>
      <c r="G12" s="159" t="s">
        <v>511</v>
      </c>
      <c r="H12" s="159">
        <v>69081</v>
      </c>
      <c r="I12" s="159" t="s">
        <v>512</v>
      </c>
      <c r="J12" s="159" t="s">
        <v>513</v>
      </c>
      <c r="K12" s="159" t="s">
        <v>514</v>
      </c>
      <c r="L12" s="159" t="s">
        <v>515</v>
      </c>
      <c r="M12" s="159" t="s">
        <v>539</v>
      </c>
      <c r="N12" s="159" t="s">
        <v>530</v>
      </c>
      <c r="O12" s="159" t="s">
        <v>531</v>
      </c>
      <c r="P12" s="159" t="s">
        <v>540</v>
      </c>
      <c r="Q12" s="159" t="s">
        <v>511</v>
      </c>
      <c r="R12" s="159">
        <v>69141</v>
      </c>
      <c r="S12" s="159" t="s">
        <v>518</v>
      </c>
      <c r="T12" s="160" t="s">
        <v>173</v>
      </c>
      <c r="U12" s="159" t="s">
        <v>519</v>
      </c>
      <c r="V12" s="159" t="s">
        <v>520</v>
      </c>
      <c r="W12" s="161">
        <v>10</v>
      </c>
      <c r="X12" s="159"/>
      <c r="Y12" s="159"/>
      <c r="Z12" s="159"/>
      <c r="AA12" s="159" t="s">
        <v>44</v>
      </c>
      <c r="AB12" s="159" t="s">
        <v>521</v>
      </c>
      <c r="AC12" s="159" t="s">
        <v>511</v>
      </c>
      <c r="AD12" s="159">
        <v>69002</v>
      </c>
      <c r="AE12" s="162">
        <v>0.29870200000000002</v>
      </c>
      <c r="AF12" s="162">
        <v>0</v>
      </c>
      <c r="AG12" s="162">
        <f t="shared" si="0"/>
        <v>0.29870200000000002</v>
      </c>
    </row>
    <row r="13" spans="1:33" x14ac:dyDescent="0.3">
      <c r="A13" s="159" t="s">
        <v>507</v>
      </c>
      <c r="B13" s="160" t="s">
        <v>508</v>
      </c>
      <c r="C13" s="160" t="s">
        <v>509</v>
      </c>
      <c r="D13" s="159" t="s">
        <v>510</v>
      </c>
      <c r="E13" s="159">
        <v>42</v>
      </c>
      <c r="F13" s="159">
        <v>3</v>
      </c>
      <c r="G13" s="159" t="s">
        <v>511</v>
      </c>
      <c r="H13" s="159">
        <v>69081</v>
      </c>
      <c r="I13" s="159" t="s">
        <v>512</v>
      </c>
      <c r="J13" s="159" t="s">
        <v>513</v>
      </c>
      <c r="K13" s="159" t="s">
        <v>514</v>
      </c>
      <c r="L13" s="159" t="s">
        <v>515</v>
      </c>
      <c r="M13" s="159" t="s">
        <v>541</v>
      </c>
      <c r="N13" s="159" t="s">
        <v>530</v>
      </c>
      <c r="O13" s="159" t="s">
        <v>542</v>
      </c>
      <c r="P13" s="159" t="s">
        <v>543</v>
      </c>
      <c r="Q13" s="159" t="s">
        <v>511</v>
      </c>
      <c r="R13" s="159">
        <v>69141</v>
      </c>
      <c r="S13" s="159" t="s">
        <v>518</v>
      </c>
      <c r="T13" s="160" t="s">
        <v>189</v>
      </c>
      <c r="U13" s="159" t="s">
        <v>519</v>
      </c>
      <c r="V13" s="159" t="s">
        <v>520</v>
      </c>
      <c r="W13" s="161">
        <v>10</v>
      </c>
      <c r="X13" s="159"/>
      <c r="Y13" s="159"/>
      <c r="Z13" s="159"/>
      <c r="AA13" s="159" t="s">
        <v>44</v>
      </c>
      <c r="AB13" s="159" t="s">
        <v>521</v>
      </c>
      <c r="AC13" s="159" t="s">
        <v>511</v>
      </c>
      <c r="AD13" s="159">
        <v>69002</v>
      </c>
      <c r="AE13" s="162">
        <v>0.16936999999999999</v>
      </c>
      <c r="AF13" s="162">
        <v>0</v>
      </c>
      <c r="AG13" s="162">
        <f t="shared" si="0"/>
        <v>0.16936999999999999</v>
      </c>
    </row>
    <row r="14" spans="1:33" x14ac:dyDescent="0.3">
      <c r="A14" s="159" t="s">
        <v>507</v>
      </c>
      <c r="B14" s="160" t="s">
        <v>508</v>
      </c>
      <c r="C14" s="160" t="s">
        <v>509</v>
      </c>
      <c r="D14" s="159" t="s">
        <v>510</v>
      </c>
      <c r="E14" s="159">
        <v>42</v>
      </c>
      <c r="F14" s="159">
        <v>3</v>
      </c>
      <c r="G14" s="159" t="s">
        <v>511</v>
      </c>
      <c r="H14" s="159">
        <v>69081</v>
      </c>
      <c r="I14" s="159" t="s">
        <v>512</v>
      </c>
      <c r="J14" s="159" t="s">
        <v>513</v>
      </c>
      <c r="K14" s="159" t="s">
        <v>514</v>
      </c>
      <c r="L14" s="159" t="s">
        <v>515</v>
      </c>
      <c r="M14" s="159" t="s">
        <v>544</v>
      </c>
      <c r="N14" s="159" t="s">
        <v>530</v>
      </c>
      <c r="O14" s="159" t="s">
        <v>542</v>
      </c>
      <c r="P14" s="159">
        <v>6</v>
      </c>
      <c r="Q14" s="159" t="s">
        <v>511</v>
      </c>
      <c r="R14" s="159">
        <v>69141</v>
      </c>
      <c r="S14" s="159" t="s">
        <v>518</v>
      </c>
      <c r="T14" s="160" t="s">
        <v>193</v>
      </c>
      <c r="U14" s="159" t="s">
        <v>519</v>
      </c>
      <c r="V14" s="159" t="s">
        <v>520</v>
      </c>
      <c r="W14" s="161">
        <v>10</v>
      </c>
      <c r="X14" s="159"/>
      <c r="Y14" s="159"/>
      <c r="Z14" s="159"/>
      <c r="AA14" s="159" t="s">
        <v>44</v>
      </c>
      <c r="AB14" s="159" t="s">
        <v>521</v>
      </c>
      <c r="AC14" s="159" t="s">
        <v>511</v>
      </c>
      <c r="AD14" s="159">
        <v>69002</v>
      </c>
      <c r="AE14" s="162">
        <v>0.167988</v>
      </c>
      <c r="AF14" s="162">
        <v>0</v>
      </c>
      <c r="AG14" s="162">
        <f t="shared" si="0"/>
        <v>0.167988</v>
      </c>
    </row>
    <row r="15" spans="1:33" x14ac:dyDescent="0.3">
      <c r="A15" s="159" t="s">
        <v>507</v>
      </c>
      <c r="B15" s="160" t="s">
        <v>508</v>
      </c>
      <c r="C15" s="160" t="s">
        <v>509</v>
      </c>
      <c r="D15" s="159" t="s">
        <v>510</v>
      </c>
      <c r="E15" s="159">
        <v>42</v>
      </c>
      <c r="F15" s="159">
        <v>3</v>
      </c>
      <c r="G15" s="159" t="s">
        <v>511</v>
      </c>
      <c r="H15" s="159">
        <v>69081</v>
      </c>
      <c r="I15" s="159" t="s">
        <v>512</v>
      </c>
      <c r="J15" s="159" t="s">
        <v>513</v>
      </c>
      <c r="K15" s="159" t="s">
        <v>514</v>
      </c>
      <c r="L15" s="159" t="s">
        <v>515</v>
      </c>
      <c r="M15" s="159" t="s">
        <v>545</v>
      </c>
      <c r="N15" s="159" t="s">
        <v>546</v>
      </c>
      <c r="O15" s="159">
        <v>3</v>
      </c>
      <c r="P15" s="159"/>
      <c r="Q15" s="159" t="s">
        <v>511</v>
      </c>
      <c r="R15" s="159">
        <v>69002</v>
      </c>
      <c r="S15" s="159" t="s">
        <v>518</v>
      </c>
      <c r="T15" s="160" t="s">
        <v>547</v>
      </c>
      <c r="U15" s="159" t="s">
        <v>548</v>
      </c>
      <c r="V15" s="159" t="s">
        <v>549</v>
      </c>
      <c r="W15" s="161">
        <v>25</v>
      </c>
      <c r="X15" s="159"/>
      <c r="Y15" s="159"/>
      <c r="Z15" s="159"/>
      <c r="AA15" s="159" t="s">
        <v>44</v>
      </c>
      <c r="AB15" s="159" t="s">
        <v>521</v>
      </c>
      <c r="AC15" s="159" t="s">
        <v>511</v>
      </c>
      <c r="AD15" s="159">
        <v>69002</v>
      </c>
      <c r="AE15" s="162">
        <v>52.737479</v>
      </c>
      <c r="AF15" s="162">
        <v>0</v>
      </c>
      <c r="AG15" s="162">
        <f t="shared" si="0"/>
        <v>52.737479</v>
      </c>
    </row>
    <row r="16" spans="1:33" x14ac:dyDescent="0.3">
      <c r="A16" s="159" t="s">
        <v>507</v>
      </c>
      <c r="B16" s="160" t="s">
        <v>508</v>
      </c>
      <c r="C16" s="160" t="s">
        <v>509</v>
      </c>
      <c r="D16" s="159" t="s">
        <v>510</v>
      </c>
      <c r="E16" s="159">
        <v>42</v>
      </c>
      <c r="F16" s="159">
        <v>3</v>
      </c>
      <c r="G16" s="159" t="s">
        <v>511</v>
      </c>
      <c r="H16" s="159">
        <v>69081</v>
      </c>
      <c r="I16" s="159" t="s">
        <v>550</v>
      </c>
      <c r="J16" s="159" t="s">
        <v>513</v>
      </c>
      <c r="K16" s="159" t="s">
        <v>514</v>
      </c>
      <c r="L16" s="159" t="s">
        <v>515</v>
      </c>
      <c r="M16" s="159" t="s">
        <v>391</v>
      </c>
      <c r="N16" s="159" t="s">
        <v>551</v>
      </c>
      <c r="O16" s="159"/>
      <c r="P16" s="159"/>
      <c r="Q16" s="159" t="s">
        <v>552</v>
      </c>
      <c r="R16" s="159">
        <v>69141</v>
      </c>
      <c r="S16" s="159" t="s">
        <v>518</v>
      </c>
      <c r="T16" s="160" t="s">
        <v>390</v>
      </c>
      <c r="U16" s="159" t="s">
        <v>519</v>
      </c>
      <c r="V16" s="159" t="s">
        <v>520</v>
      </c>
      <c r="W16" s="161">
        <v>10</v>
      </c>
      <c r="X16" s="159"/>
      <c r="Y16" s="159"/>
      <c r="Z16" s="159"/>
      <c r="AA16" s="159" t="s">
        <v>44</v>
      </c>
      <c r="AB16" s="159" t="s">
        <v>553</v>
      </c>
      <c r="AC16" s="159" t="s">
        <v>511</v>
      </c>
      <c r="AD16" s="159">
        <v>69002</v>
      </c>
      <c r="AE16" s="163">
        <v>0.16700000000000001</v>
      </c>
      <c r="AF16" s="163">
        <v>0</v>
      </c>
      <c r="AG16" s="162">
        <f t="shared" si="0"/>
        <v>0.16700000000000001</v>
      </c>
    </row>
    <row r="17" spans="1:33" x14ac:dyDescent="0.3">
      <c r="A17" s="159" t="s">
        <v>507</v>
      </c>
      <c r="B17" s="160" t="s">
        <v>508</v>
      </c>
      <c r="C17" s="160" t="s">
        <v>509</v>
      </c>
      <c r="D17" s="159" t="s">
        <v>510</v>
      </c>
      <c r="E17" s="159">
        <v>42</v>
      </c>
      <c r="F17" s="159">
        <v>3</v>
      </c>
      <c r="G17" s="159" t="s">
        <v>511</v>
      </c>
      <c r="H17" s="159">
        <v>69081</v>
      </c>
      <c r="I17" s="159" t="s">
        <v>550</v>
      </c>
      <c r="J17" s="159" t="s">
        <v>513</v>
      </c>
      <c r="K17" s="159" t="s">
        <v>514</v>
      </c>
      <c r="L17" s="159" t="s">
        <v>515</v>
      </c>
      <c r="M17" s="159" t="s">
        <v>393</v>
      </c>
      <c r="N17" s="159" t="s">
        <v>554</v>
      </c>
      <c r="O17" s="159"/>
      <c r="P17" s="159"/>
      <c r="Q17" s="159" t="s">
        <v>511</v>
      </c>
      <c r="R17" s="159">
        <v>69141</v>
      </c>
      <c r="S17" s="159" t="s">
        <v>518</v>
      </c>
      <c r="T17" s="160" t="s">
        <v>392</v>
      </c>
      <c r="U17" s="159" t="s">
        <v>519</v>
      </c>
      <c r="V17" s="159" t="s">
        <v>520</v>
      </c>
      <c r="W17" s="161">
        <v>10</v>
      </c>
      <c r="X17" s="159"/>
      <c r="Y17" s="159"/>
      <c r="Z17" s="159"/>
      <c r="AA17" s="159" t="s">
        <v>44</v>
      </c>
      <c r="AB17" s="159" t="s">
        <v>555</v>
      </c>
      <c r="AC17" s="159" t="s">
        <v>511</v>
      </c>
      <c r="AD17" s="159">
        <v>69002</v>
      </c>
      <c r="AE17" s="163">
        <v>0.38200000000000001</v>
      </c>
      <c r="AF17" s="163">
        <v>0</v>
      </c>
      <c r="AG17" s="162">
        <f t="shared" si="0"/>
        <v>0.38200000000000001</v>
      </c>
    </row>
    <row r="18" spans="1:33" x14ac:dyDescent="0.3">
      <c r="A18" s="159" t="s">
        <v>507</v>
      </c>
      <c r="B18" s="160" t="s">
        <v>508</v>
      </c>
      <c r="C18" s="160" t="s">
        <v>509</v>
      </c>
      <c r="D18" s="159" t="s">
        <v>510</v>
      </c>
      <c r="E18" s="159">
        <v>42</v>
      </c>
      <c r="F18" s="159">
        <v>3</v>
      </c>
      <c r="G18" s="159" t="s">
        <v>511</v>
      </c>
      <c r="H18" s="159">
        <v>69081</v>
      </c>
      <c r="I18" s="159" t="s">
        <v>550</v>
      </c>
      <c r="J18" s="159" t="s">
        <v>513</v>
      </c>
      <c r="K18" s="159" t="s">
        <v>514</v>
      </c>
      <c r="L18" s="164" t="s">
        <v>515</v>
      </c>
      <c r="M18" s="159" t="s">
        <v>545</v>
      </c>
      <c r="N18" s="159" t="s">
        <v>546</v>
      </c>
      <c r="O18" s="159" t="s">
        <v>542</v>
      </c>
      <c r="P18" s="159">
        <v>6</v>
      </c>
      <c r="Q18" s="159" t="s">
        <v>511</v>
      </c>
      <c r="R18" s="159">
        <v>69141</v>
      </c>
      <c r="S18" s="159" t="s">
        <v>518</v>
      </c>
      <c r="T18" s="160" t="s">
        <v>556</v>
      </c>
      <c r="U18" s="159" t="s">
        <v>557</v>
      </c>
      <c r="V18" s="159" t="s">
        <v>558</v>
      </c>
      <c r="W18" s="161">
        <v>40</v>
      </c>
      <c r="X18" s="159"/>
      <c r="Y18" s="159"/>
      <c r="Z18" s="159"/>
      <c r="AA18" s="159" t="s">
        <v>44</v>
      </c>
      <c r="AB18" s="159" t="s">
        <v>559</v>
      </c>
      <c r="AC18" s="159" t="s">
        <v>511</v>
      </c>
      <c r="AD18" s="159">
        <v>69002</v>
      </c>
      <c r="AE18" s="163">
        <v>90.393000000000001</v>
      </c>
      <c r="AF18" s="163">
        <v>0</v>
      </c>
      <c r="AG18" s="162">
        <f t="shared" si="0"/>
        <v>90.393000000000001</v>
      </c>
    </row>
    <row r="19" spans="1:33" x14ac:dyDescent="0.3">
      <c r="A19" s="159" t="s">
        <v>507</v>
      </c>
      <c r="B19" s="160" t="s">
        <v>508</v>
      </c>
      <c r="C19" s="160" t="s">
        <v>509</v>
      </c>
      <c r="D19" s="159" t="s">
        <v>510</v>
      </c>
      <c r="E19" s="159">
        <v>42</v>
      </c>
      <c r="F19" s="159">
        <v>3</v>
      </c>
      <c r="G19" s="159" t="s">
        <v>511</v>
      </c>
      <c r="H19" s="159">
        <v>69081</v>
      </c>
      <c r="I19" s="159" t="s">
        <v>550</v>
      </c>
      <c r="J19" s="159" t="s">
        <v>513</v>
      </c>
      <c r="K19" s="159" t="s">
        <v>514</v>
      </c>
      <c r="L19" s="164" t="s">
        <v>515</v>
      </c>
      <c r="M19" s="159" t="s">
        <v>395</v>
      </c>
      <c r="N19" s="159" t="s">
        <v>560</v>
      </c>
      <c r="O19" s="159"/>
      <c r="P19" s="159"/>
      <c r="Q19" s="159" t="s">
        <v>511</v>
      </c>
      <c r="R19" s="159">
        <v>69002</v>
      </c>
      <c r="S19" s="159" t="s">
        <v>518</v>
      </c>
      <c r="T19" s="160" t="s">
        <v>394</v>
      </c>
      <c r="U19" s="159" t="s">
        <v>548</v>
      </c>
      <c r="V19" s="159" t="s">
        <v>558</v>
      </c>
      <c r="W19" s="161">
        <v>40</v>
      </c>
      <c r="X19" s="159"/>
      <c r="Y19" s="159"/>
      <c r="Z19" s="159"/>
      <c r="AA19" s="159" t="s">
        <v>44</v>
      </c>
      <c r="AB19" s="159" t="s">
        <v>561</v>
      </c>
      <c r="AC19" s="159" t="s">
        <v>511</v>
      </c>
      <c r="AD19" s="159">
        <v>69002</v>
      </c>
      <c r="AE19" s="163">
        <v>9.7690000000000001</v>
      </c>
      <c r="AF19" s="163">
        <v>0</v>
      </c>
      <c r="AG19" s="162">
        <f t="shared" si="0"/>
        <v>9.7690000000000001</v>
      </c>
    </row>
    <row r="20" spans="1:33" x14ac:dyDescent="0.3">
      <c r="A20" s="159" t="s">
        <v>507</v>
      </c>
      <c r="B20" s="160" t="s">
        <v>508</v>
      </c>
      <c r="C20" s="160" t="s">
        <v>509</v>
      </c>
      <c r="D20" s="159" t="s">
        <v>510</v>
      </c>
      <c r="E20" s="159">
        <v>42</v>
      </c>
      <c r="F20" s="159">
        <v>3</v>
      </c>
      <c r="G20" s="159" t="s">
        <v>511</v>
      </c>
      <c r="H20" s="159">
        <v>69081</v>
      </c>
      <c r="I20" s="159" t="s">
        <v>550</v>
      </c>
      <c r="J20" s="159" t="s">
        <v>513</v>
      </c>
      <c r="K20" s="159" t="s">
        <v>514</v>
      </c>
      <c r="L20" s="164" t="s">
        <v>515</v>
      </c>
      <c r="M20" s="159" t="s">
        <v>397</v>
      </c>
      <c r="N20" s="159" t="s">
        <v>562</v>
      </c>
      <c r="O20" s="159"/>
      <c r="P20" s="159"/>
      <c r="Q20" s="159" t="s">
        <v>511</v>
      </c>
      <c r="R20" s="159">
        <v>69002</v>
      </c>
      <c r="S20" s="159" t="s">
        <v>518</v>
      </c>
      <c r="T20" s="160" t="s">
        <v>396</v>
      </c>
      <c r="U20" s="159" t="s">
        <v>557</v>
      </c>
      <c r="V20" s="159" t="s">
        <v>549</v>
      </c>
      <c r="W20" s="161">
        <v>40</v>
      </c>
      <c r="X20" s="159"/>
      <c r="Y20" s="159"/>
      <c r="Z20" s="159"/>
      <c r="AA20" s="159" t="s">
        <v>44</v>
      </c>
      <c r="AB20" s="159" t="s">
        <v>563</v>
      </c>
      <c r="AC20" s="159" t="s">
        <v>511</v>
      </c>
      <c r="AD20" s="159">
        <v>69002</v>
      </c>
      <c r="AE20" s="163">
        <v>6.6909999999999998</v>
      </c>
      <c r="AF20" s="163">
        <v>0</v>
      </c>
      <c r="AG20" s="162">
        <f t="shared" si="0"/>
        <v>6.6909999999999998</v>
      </c>
    </row>
    <row r="21" spans="1:33" x14ac:dyDescent="0.3">
      <c r="A21" s="159" t="s">
        <v>507</v>
      </c>
      <c r="B21" s="160" t="s">
        <v>508</v>
      </c>
      <c r="C21" s="160" t="s">
        <v>509</v>
      </c>
      <c r="D21" s="159" t="s">
        <v>510</v>
      </c>
      <c r="E21" s="159">
        <v>42</v>
      </c>
      <c r="F21" s="159">
        <v>3</v>
      </c>
      <c r="G21" s="159" t="s">
        <v>511</v>
      </c>
      <c r="H21" s="159">
        <v>69081</v>
      </c>
      <c r="I21" s="159" t="s">
        <v>512</v>
      </c>
      <c r="J21" s="159" t="s">
        <v>513</v>
      </c>
      <c r="K21" s="159" t="s">
        <v>514</v>
      </c>
      <c r="L21" s="159" t="s">
        <v>515</v>
      </c>
      <c r="M21" s="159" t="s">
        <v>233</v>
      </c>
      <c r="N21" s="159" t="s">
        <v>564</v>
      </c>
      <c r="O21" s="159"/>
      <c r="P21" s="159"/>
      <c r="Q21" s="159" t="s">
        <v>511</v>
      </c>
      <c r="R21" s="159">
        <v>69002</v>
      </c>
      <c r="S21" s="159" t="s">
        <v>518</v>
      </c>
      <c r="T21" s="160" t="s">
        <v>231</v>
      </c>
      <c r="U21" s="159" t="s">
        <v>565</v>
      </c>
      <c r="V21" s="159" t="s">
        <v>549</v>
      </c>
      <c r="W21" s="161">
        <v>16</v>
      </c>
      <c r="X21" s="159"/>
      <c r="Y21" s="159"/>
      <c r="Z21" s="159"/>
      <c r="AA21" s="159" t="s">
        <v>232</v>
      </c>
      <c r="AB21" s="159" t="s">
        <v>566</v>
      </c>
      <c r="AC21" s="159" t="s">
        <v>511</v>
      </c>
      <c r="AD21" s="159">
        <v>69081</v>
      </c>
      <c r="AE21" s="162">
        <v>0</v>
      </c>
      <c r="AF21" s="162">
        <v>0</v>
      </c>
      <c r="AG21" s="162">
        <f t="shared" si="0"/>
        <v>0</v>
      </c>
    </row>
    <row r="22" spans="1:33" x14ac:dyDescent="0.3">
      <c r="A22" s="159" t="s">
        <v>507</v>
      </c>
      <c r="B22" s="160" t="s">
        <v>508</v>
      </c>
      <c r="C22" s="160" t="s">
        <v>509</v>
      </c>
      <c r="D22" s="159" t="s">
        <v>510</v>
      </c>
      <c r="E22" s="159">
        <v>42</v>
      </c>
      <c r="F22" s="159">
        <v>3</v>
      </c>
      <c r="G22" s="159" t="s">
        <v>511</v>
      </c>
      <c r="H22" s="159">
        <v>69081</v>
      </c>
      <c r="I22" s="159" t="s">
        <v>512</v>
      </c>
      <c r="J22" s="159" t="s">
        <v>513</v>
      </c>
      <c r="K22" s="159" t="s">
        <v>514</v>
      </c>
      <c r="L22" s="159" t="s">
        <v>515</v>
      </c>
      <c r="M22" s="159" t="s">
        <v>567</v>
      </c>
      <c r="N22" s="159" t="s">
        <v>568</v>
      </c>
      <c r="O22" s="159">
        <v>42</v>
      </c>
      <c r="P22" s="159">
        <v>3</v>
      </c>
      <c r="Q22" s="159" t="s">
        <v>511</v>
      </c>
      <c r="R22" s="159">
        <v>69002</v>
      </c>
      <c r="S22" s="159" t="s">
        <v>518</v>
      </c>
      <c r="T22" s="160" t="s">
        <v>569</v>
      </c>
      <c r="U22" s="159" t="s">
        <v>570</v>
      </c>
      <c r="V22" s="159" t="s">
        <v>549</v>
      </c>
      <c r="W22" s="161">
        <v>25</v>
      </c>
      <c r="X22" s="159"/>
      <c r="Y22" s="159"/>
      <c r="Z22" s="159"/>
      <c r="AA22" s="159" t="s">
        <v>571</v>
      </c>
      <c r="AB22" s="159" t="s">
        <v>566</v>
      </c>
      <c r="AC22" s="159" t="s">
        <v>511</v>
      </c>
      <c r="AD22" s="159">
        <v>69081</v>
      </c>
      <c r="AE22" s="162">
        <v>2.4521999999999999E-2</v>
      </c>
      <c r="AF22" s="162">
        <v>15.437582000000001</v>
      </c>
      <c r="AG22" s="162">
        <f t="shared" si="0"/>
        <v>15.462104</v>
      </c>
    </row>
    <row r="23" spans="1:33" x14ac:dyDescent="0.3">
      <c r="A23" s="159" t="s">
        <v>507</v>
      </c>
      <c r="B23" s="160" t="s">
        <v>508</v>
      </c>
      <c r="C23" s="160" t="s">
        <v>509</v>
      </c>
      <c r="D23" s="159" t="s">
        <v>510</v>
      </c>
      <c r="E23" s="159">
        <v>42</v>
      </c>
      <c r="F23" s="159">
        <v>3</v>
      </c>
      <c r="G23" s="159" t="s">
        <v>511</v>
      </c>
      <c r="H23" s="159">
        <v>69081</v>
      </c>
      <c r="I23" s="159" t="s">
        <v>512</v>
      </c>
      <c r="J23" s="159" t="s">
        <v>513</v>
      </c>
      <c r="K23" s="159" t="s">
        <v>514</v>
      </c>
      <c r="L23" s="159" t="s">
        <v>515</v>
      </c>
      <c r="M23" s="159" t="s">
        <v>572</v>
      </c>
      <c r="N23" s="159" t="s">
        <v>568</v>
      </c>
      <c r="O23" s="159">
        <v>42</v>
      </c>
      <c r="P23" s="159">
        <v>3</v>
      </c>
      <c r="Q23" s="159" t="s">
        <v>511</v>
      </c>
      <c r="R23" s="159">
        <v>69002</v>
      </c>
      <c r="S23" s="159" t="s">
        <v>518</v>
      </c>
      <c r="T23" s="160" t="s">
        <v>573</v>
      </c>
      <c r="U23" s="159" t="s">
        <v>574</v>
      </c>
      <c r="V23" s="159" t="s">
        <v>549</v>
      </c>
      <c r="W23" s="161">
        <v>200</v>
      </c>
      <c r="X23" s="159"/>
      <c r="Y23" s="159"/>
      <c r="Z23" s="159"/>
      <c r="AA23" s="159" t="s">
        <v>571</v>
      </c>
      <c r="AB23" s="159" t="s">
        <v>566</v>
      </c>
      <c r="AC23" s="159" t="s">
        <v>511</v>
      </c>
      <c r="AD23" s="159">
        <v>69081</v>
      </c>
      <c r="AE23" s="162">
        <v>202.89599999999999</v>
      </c>
      <c r="AF23" s="162">
        <v>98.125</v>
      </c>
      <c r="AG23" s="162">
        <f t="shared" si="0"/>
        <v>301.02099999999996</v>
      </c>
    </row>
    <row r="24" spans="1:33" x14ac:dyDescent="0.3">
      <c r="A24" s="159" t="s">
        <v>507</v>
      </c>
      <c r="B24" s="160" t="s">
        <v>508</v>
      </c>
      <c r="C24" s="160" t="s">
        <v>509</v>
      </c>
      <c r="D24" s="159" t="s">
        <v>510</v>
      </c>
      <c r="E24" s="159">
        <v>42</v>
      </c>
      <c r="F24" s="159">
        <v>3</v>
      </c>
      <c r="G24" s="159" t="s">
        <v>511</v>
      </c>
      <c r="H24" s="159">
        <v>69081</v>
      </c>
      <c r="I24" s="159" t="s">
        <v>512</v>
      </c>
      <c r="J24" s="159" t="s">
        <v>513</v>
      </c>
      <c r="K24" s="159" t="s">
        <v>514</v>
      </c>
      <c r="L24" s="159" t="s">
        <v>515</v>
      </c>
      <c r="M24" s="159" t="s">
        <v>575</v>
      </c>
      <c r="N24" s="159" t="s">
        <v>568</v>
      </c>
      <c r="O24" s="159">
        <v>42</v>
      </c>
      <c r="P24" s="159">
        <v>3</v>
      </c>
      <c r="Q24" s="159" t="s">
        <v>511</v>
      </c>
      <c r="R24" s="159">
        <v>69002</v>
      </c>
      <c r="S24" s="159" t="s">
        <v>518</v>
      </c>
      <c r="T24" s="160" t="s">
        <v>576</v>
      </c>
      <c r="U24" s="159" t="s">
        <v>548</v>
      </c>
      <c r="V24" s="159" t="s">
        <v>549</v>
      </c>
      <c r="W24" s="161">
        <v>40</v>
      </c>
      <c r="X24" s="159"/>
      <c r="Y24" s="159"/>
      <c r="Z24" s="159"/>
      <c r="AA24" s="159" t="s">
        <v>571</v>
      </c>
      <c r="AB24" s="159" t="s">
        <v>566</v>
      </c>
      <c r="AC24" s="159" t="s">
        <v>511</v>
      </c>
      <c r="AD24" s="159">
        <v>69081</v>
      </c>
      <c r="AE24" s="162">
        <v>6.4575889999999996</v>
      </c>
      <c r="AF24" s="162">
        <v>0</v>
      </c>
      <c r="AG24" s="162">
        <f t="shared" si="0"/>
        <v>6.4575889999999996</v>
      </c>
    </row>
    <row r="25" spans="1:33" x14ac:dyDescent="0.3">
      <c r="A25" s="159" t="s">
        <v>507</v>
      </c>
      <c r="B25" s="160" t="s">
        <v>508</v>
      </c>
      <c r="C25" s="160" t="s">
        <v>509</v>
      </c>
      <c r="D25" s="159" t="s">
        <v>510</v>
      </c>
      <c r="E25" s="159">
        <v>42</v>
      </c>
      <c r="F25" s="159">
        <v>3</v>
      </c>
      <c r="G25" s="159" t="s">
        <v>511</v>
      </c>
      <c r="H25" s="159">
        <v>69081</v>
      </c>
      <c r="I25" s="159" t="s">
        <v>512</v>
      </c>
      <c r="J25" s="159" t="s">
        <v>513</v>
      </c>
      <c r="K25" s="159" t="s">
        <v>514</v>
      </c>
      <c r="L25" s="159" t="s">
        <v>515</v>
      </c>
      <c r="M25" s="159" t="s">
        <v>577</v>
      </c>
      <c r="N25" s="159" t="s">
        <v>578</v>
      </c>
      <c r="O25" s="159">
        <v>2192</v>
      </c>
      <c r="P25" s="159">
        <v>2</v>
      </c>
      <c r="Q25" s="159" t="s">
        <v>511</v>
      </c>
      <c r="R25" s="159">
        <v>69081</v>
      </c>
      <c r="S25" s="159" t="s">
        <v>518</v>
      </c>
      <c r="T25" s="160" t="s">
        <v>55</v>
      </c>
      <c r="U25" s="159" t="s">
        <v>579</v>
      </c>
      <c r="V25" s="159" t="s">
        <v>549</v>
      </c>
      <c r="W25" s="161">
        <v>80</v>
      </c>
      <c r="X25" s="159"/>
      <c r="Y25" s="159"/>
      <c r="Z25" s="159"/>
      <c r="AA25" s="159" t="s">
        <v>571</v>
      </c>
      <c r="AB25" s="159" t="s">
        <v>566</v>
      </c>
      <c r="AC25" s="159" t="s">
        <v>511</v>
      </c>
      <c r="AD25" s="159">
        <v>69081</v>
      </c>
      <c r="AE25" s="162">
        <v>41.256</v>
      </c>
      <c r="AF25" s="162">
        <v>17.896000000000001</v>
      </c>
      <c r="AG25" s="162">
        <f t="shared" si="0"/>
        <v>59.152000000000001</v>
      </c>
    </row>
    <row r="26" spans="1:33" x14ac:dyDescent="0.3">
      <c r="A26" s="159" t="s">
        <v>507</v>
      </c>
      <c r="B26" s="160" t="s">
        <v>508</v>
      </c>
      <c r="C26" s="160" t="s">
        <v>509</v>
      </c>
      <c r="D26" s="159" t="s">
        <v>510</v>
      </c>
      <c r="E26" s="159">
        <v>42</v>
      </c>
      <c r="F26" s="159">
        <v>3</v>
      </c>
      <c r="G26" s="159" t="s">
        <v>511</v>
      </c>
      <c r="H26" s="159">
        <v>69081</v>
      </c>
      <c r="I26" s="159" t="s">
        <v>512</v>
      </c>
      <c r="J26" s="159" t="s">
        <v>513</v>
      </c>
      <c r="K26" s="159" t="s">
        <v>514</v>
      </c>
      <c r="L26" s="159" t="s">
        <v>515</v>
      </c>
      <c r="M26" s="159" t="s">
        <v>362</v>
      </c>
      <c r="N26" s="159" t="s">
        <v>580</v>
      </c>
      <c r="O26" s="159" t="s">
        <v>430</v>
      </c>
      <c r="P26" s="159"/>
      <c r="Q26" s="159" t="s">
        <v>511</v>
      </c>
      <c r="R26" s="159">
        <v>69002</v>
      </c>
      <c r="S26" s="159" t="s">
        <v>518</v>
      </c>
      <c r="T26" s="160" t="s">
        <v>361</v>
      </c>
      <c r="U26" s="159" t="s">
        <v>548</v>
      </c>
      <c r="V26" s="159" t="s">
        <v>549</v>
      </c>
      <c r="W26" s="161">
        <v>32</v>
      </c>
      <c r="X26" s="159"/>
      <c r="Y26" s="159"/>
      <c r="Z26" s="159"/>
      <c r="AA26" s="159" t="s">
        <v>237</v>
      </c>
      <c r="AB26" s="159" t="s">
        <v>566</v>
      </c>
      <c r="AC26" s="159" t="s">
        <v>511</v>
      </c>
      <c r="AD26" s="159">
        <v>69081</v>
      </c>
      <c r="AE26" s="162">
        <v>5.9017520000000001</v>
      </c>
      <c r="AF26" s="162">
        <v>0</v>
      </c>
      <c r="AG26" s="162">
        <f t="shared" si="0"/>
        <v>5.9017520000000001</v>
      </c>
    </row>
    <row r="27" spans="1:33" x14ac:dyDescent="0.3">
      <c r="A27" s="159" t="s">
        <v>507</v>
      </c>
      <c r="B27" s="160" t="s">
        <v>508</v>
      </c>
      <c r="C27" s="160" t="s">
        <v>509</v>
      </c>
      <c r="D27" s="159" t="s">
        <v>510</v>
      </c>
      <c r="E27" s="159">
        <v>42</v>
      </c>
      <c r="F27" s="159">
        <v>3</v>
      </c>
      <c r="G27" s="159" t="s">
        <v>511</v>
      </c>
      <c r="H27" s="159">
        <v>69081</v>
      </c>
      <c r="I27" s="159" t="s">
        <v>512</v>
      </c>
      <c r="J27" s="159" t="s">
        <v>513</v>
      </c>
      <c r="K27" s="159" t="s">
        <v>514</v>
      </c>
      <c r="L27" s="159" t="s">
        <v>515</v>
      </c>
      <c r="M27" s="159" t="s">
        <v>368</v>
      </c>
      <c r="N27" s="159" t="s">
        <v>581</v>
      </c>
      <c r="O27" s="159" t="s">
        <v>582</v>
      </c>
      <c r="P27" s="159">
        <v>1</v>
      </c>
      <c r="Q27" s="159" t="s">
        <v>511</v>
      </c>
      <c r="R27" s="159">
        <v>69002</v>
      </c>
      <c r="S27" s="159" t="s">
        <v>518</v>
      </c>
      <c r="T27" s="160" t="s">
        <v>367</v>
      </c>
      <c r="U27" s="159" t="s">
        <v>548</v>
      </c>
      <c r="V27" s="159" t="s">
        <v>549</v>
      </c>
      <c r="W27" s="161">
        <v>25</v>
      </c>
      <c r="X27" s="159"/>
      <c r="Y27" s="159"/>
      <c r="Z27" s="159"/>
      <c r="AA27" s="159" t="s">
        <v>237</v>
      </c>
      <c r="AB27" s="159" t="s">
        <v>566</v>
      </c>
      <c r="AC27" s="159" t="s">
        <v>511</v>
      </c>
      <c r="AD27" s="159">
        <v>69081</v>
      </c>
      <c r="AE27" s="162">
        <v>2.7373349999999999</v>
      </c>
      <c r="AF27" s="162">
        <v>0</v>
      </c>
      <c r="AG27" s="162">
        <f t="shared" si="0"/>
        <v>2.7373349999999999</v>
      </c>
    </row>
    <row r="28" spans="1:33" x14ac:dyDescent="0.3">
      <c r="A28" s="159" t="s">
        <v>507</v>
      </c>
      <c r="B28" s="160" t="s">
        <v>508</v>
      </c>
      <c r="C28" s="160" t="s">
        <v>509</v>
      </c>
      <c r="D28" s="159" t="s">
        <v>510</v>
      </c>
      <c r="E28" s="159">
        <v>42</v>
      </c>
      <c r="F28" s="159">
        <v>3</v>
      </c>
      <c r="G28" s="159" t="s">
        <v>511</v>
      </c>
      <c r="H28" s="159">
        <v>69081</v>
      </c>
      <c r="I28" s="159" t="s">
        <v>512</v>
      </c>
      <c r="J28" s="159" t="s">
        <v>513</v>
      </c>
      <c r="K28" s="159" t="s">
        <v>514</v>
      </c>
      <c r="L28" s="159" t="s">
        <v>515</v>
      </c>
      <c r="M28" s="159" t="s">
        <v>296</v>
      </c>
      <c r="N28" s="159" t="s">
        <v>296</v>
      </c>
      <c r="O28" s="159"/>
      <c r="P28" s="159"/>
      <c r="Q28" s="159" t="s">
        <v>511</v>
      </c>
      <c r="R28" s="159">
        <v>69002</v>
      </c>
      <c r="S28" s="159" t="s">
        <v>518</v>
      </c>
      <c r="T28" s="160" t="s">
        <v>295</v>
      </c>
      <c r="U28" s="159" t="s">
        <v>565</v>
      </c>
      <c r="V28" s="159" t="s">
        <v>549</v>
      </c>
      <c r="W28" s="161">
        <v>40</v>
      </c>
      <c r="X28" s="159"/>
      <c r="Y28" s="159"/>
      <c r="Z28" s="159"/>
      <c r="AA28" s="159" t="s">
        <v>237</v>
      </c>
      <c r="AB28" s="159" t="s">
        <v>566</v>
      </c>
      <c r="AC28" s="159" t="s">
        <v>511</v>
      </c>
      <c r="AD28" s="159">
        <v>69081</v>
      </c>
      <c r="AE28" s="162">
        <v>27.951947000000001</v>
      </c>
      <c r="AF28" s="162">
        <v>0</v>
      </c>
      <c r="AG28" s="162">
        <f t="shared" si="0"/>
        <v>27.951947000000001</v>
      </c>
    </row>
    <row r="29" spans="1:33" x14ac:dyDescent="0.3">
      <c r="A29" s="159" t="s">
        <v>507</v>
      </c>
      <c r="B29" s="160" t="s">
        <v>508</v>
      </c>
      <c r="C29" s="160" t="s">
        <v>509</v>
      </c>
      <c r="D29" s="159" t="s">
        <v>510</v>
      </c>
      <c r="E29" s="159">
        <v>42</v>
      </c>
      <c r="F29" s="159">
        <v>3</v>
      </c>
      <c r="G29" s="159" t="s">
        <v>511</v>
      </c>
      <c r="H29" s="159">
        <v>69081</v>
      </c>
      <c r="I29" s="159" t="s">
        <v>512</v>
      </c>
      <c r="J29" s="159" t="s">
        <v>513</v>
      </c>
      <c r="K29" s="159" t="s">
        <v>514</v>
      </c>
      <c r="L29" s="159" t="s">
        <v>515</v>
      </c>
      <c r="M29" s="159" t="s">
        <v>298</v>
      </c>
      <c r="N29" s="159" t="s">
        <v>298</v>
      </c>
      <c r="O29" s="159"/>
      <c r="P29" s="159"/>
      <c r="Q29" s="159" t="s">
        <v>511</v>
      </c>
      <c r="R29" s="159">
        <v>69002</v>
      </c>
      <c r="S29" s="159" t="s">
        <v>518</v>
      </c>
      <c r="T29" s="160" t="s">
        <v>297</v>
      </c>
      <c r="U29" s="159" t="s">
        <v>565</v>
      </c>
      <c r="V29" s="159" t="s">
        <v>549</v>
      </c>
      <c r="W29" s="161">
        <v>32</v>
      </c>
      <c r="X29" s="159"/>
      <c r="Y29" s="159"/>
      <c r="Z29" s="159"/>
      <c r="AA29" s="159" t="s">
        <v>237</v>
      </c>
      <c r="AB29" s="159" t="s">
        <v>566</v>
      </c>
      <c r="AC29" s="159" t="s">
        <v>511</v>
      </c>
      <c r="AD29" s="159">
        <v>69081</v>
      </c>
      <c r="AE29" s="162">
        <v>27.572123000000001</v>
      </c>
      <c r="AF29" s="162">
        <v>0</v>
      </c>
      <c r="AG29" s="162">
        <f t="shared" si="0"/>
        <v>27.572123000000001</v>
      </c>
    </row>
    <row r="30" spans="1:33" x14ac:dyDescent="0.3">
      <c r="A30" s="159" t="s">
        <v>507</v>
      </c>
      <c r="B30" s="160" t="s">
        <v>508</v>
      </c>
      <c r="C30" s="160" t="s">
        <v>509</v>
      </c>
      <c r="D30" s="159" t="s">
        <v>510</v>
      </c>
      <c r="E30" s="159">
        <v>42</v>
      </c>
      <c r="F30" s="159">
        <v>3</v>
      </c>
      <c r="G30" s="159" t="s">
        <v>511</v>
      </c>
      <c r="H30" s="159">
        <v>69081</v>
      </c>
      <c r="I30" s="159" t="s">
        <v>512</v>
      </c>
      <c r="J30" s="159" t="s">
        <v>513</v>
      </c>
      <c r="K30" s="159" t="s">
        <v>514</v>
      </c>
      <c r="L30" s="159" t="s">
        <v>515</v>
      </c>
      <c r="M30" s="159" t="s">
        <v>322</v>
      </c>
      <c r="N30" s="159" t="s">
        <v>322</v>
      </c>
      <c r="O30" s="159"/>
      <c r="P30" s="159"/>
      <c r="Q30" s="159" t="s">
        <v>511</v>
      </c>
      <c r="R30" s="159">
        <v>69002</v>
      </c>
      <c r="S30" s="159" t="s">
        <v>518</v>
      </c>
      <c r="T30" s="160" t="s">
        <v>321</v>
      </c>
      <c r="U30" s="159" t="s">
        <v>565</v>
      </c>
      <c r="V30" s="159" t="s">
        <v>549</v>
      </c>
      <c r="W30" s="161">
        <v>25</v>
      </c>
      <c r="X30" s="159"/>
      <c r="Y30" s="159"/>
      <c r="Z30" s="159"/>
      <c r="AA30" s="159" t="s">
        <v>237</v>
      </c>
      <c r="AB30" s="159" t="s">
        <v>566</v>
      </c>
      <c r="AC30" s="159" t="s">
        <v>511</v>
      </c>
      <c r="AD30" s="159">
        <v>69081</v>
      </c>
      <c r="AE30" s="162">
        <v>21.150221999999999</v>
      </c>
      <c r="AF30" s="162">
        <v>0</v>
      </c>
      <c r="AG30" s="162">
        <f t="shared" si="0"/>
        <v>21.150221999999999</v>
      </c>
    </row>
    <row r="31" spans="1:33" x14ac:dyDescent="0.3">
      <c r="A31" s="159" t="s">
        <v>507</v>
      </c>
      <c r="B31" s="160" t="s">
        <v>508</v>
      </c>
      <c r="C31" s="160" t="s">
        <v>509</v>
      </c>
      <c r="D31" s="159" t="s">
        <v>510</v>
      </c>
      <c r="E31" s="159">
        <v>42</v>
      </c>
      <c r="F31" s="159">
        <v>3</v>
      </c>
      <c r="G31" s="159" t="s">
        <v>511</v>
      </c>
      <c r="H31" s="159">
        <v>69081</v>
      </c>
      <c r="I31" s="159" t="s">
        <v>512</v>
      </c>
      <c r="J31" s="159" t="s">
        <v>513</v>
      </c>
      <c r="K31" s="159" t="s">
        <v>514</v>
      </c>
      <c r="L31" s="159" t="s">
        <v>515</v>
      </c>
      <c r="M31" s="159" t="s">
        <v>352</v>
      </c>
      <c r="N31" s="159" t="s">
        <v>352</v>
      </c>
      <c r="O31" s="159"/>
      <c r="P31" s="159"/>
      <c r="Q31" s="159" t="s">
        <v>511</v>
      </c>
      <c r="R31" s="159">
        <v>69002</v>
      </c>
      <c r="S31" s="159" t="s">
        <v>518</v>
      </c>
      <c r="T31" s="160" t="s">
        <v>351</v>
      </c>
      <c r="U31" s="159" t="s">
        <v>565</v>
      </c>
      <c r="V31" s="159" t="s">
        <v>549</v>
      </c>
      <c r="W31" s="161">
        <v>16</v>
      </c>
      <c r="X31" s="159"/>
      <c r="Y31" s="159"/>
      <c r="Z31" s="159"/>
      <c r="AA31" s="159" t="s">
        <v>237</v>
      </c>
      <c r="AB31" s="159" t="s">
        <v>566</v>
      </c>
      <c r="AC31" s="159" t="s">
        <v>511</v>
      </c>
      <c r="AD31" s="159">
        <v>69081</v>
      </c>
      <c r="AE31" s="162">
        <v>8.2862720000000003</v>
      </c>
      <c r="AF31" s="162">
        <v>0</v>
      </c>
      <c r="AG31" s="162">
        <f t="shared" si="0"/>
        <v>8.2862720000000003</v>
      </c>
    </row>
    <row r="32" spans="1:33" x14ac:dyDescent="0.3">
      <c r="A32" s="159" t="s">
        <v>507</v>
      </c>
      <c r="B32" s="160" t="s">
        <v>508</v>
      </c>
      <c r="C32" s="160" t="s">
        <v>509</v>
      </c>
      <c r="D32" s="159" t="s">
        <v>510</v>
      </c>
      <c r="E32" s="159">
        <v>42</v>
      </c>
      <c r="F32" s="159">
        <v>3</v>
      </c>
      <c r="G32" s="159" t="s">
        <v>511</v>
      </c>
      <c r="H32" s="159">
        <v>69081</v>
      </c>
      <c r="I32" s="159" t="s">
        <v>512</v>
      </c>
      <c r="J32" s="159" t="s">
        <v>513</v>
      </c>
      <c r="K32" s="159" t="s">
        <v>514</v>
      </c>
      <c r="L32" s="159" t="s">
        <v>515</v>
      </c>
      <c r="M32" s="159" t="s">
        <v>242</v>
      </c>
      <c r="N32" s="159" t="s">
        <v>242</v>
      </c>
      <c r="O32" s="159"/>
      <c r="P32" s="159"/>
      <c r="Q32" s="159" t="s">
        <v>511</v>
      </c>
      <c r="R32" s="159">
        <v>69002</v>
      </c>
      <c r="S32" s="159" t="s">
        <v>518</v>
      </c>
      <c r="T32" s="160" t="s">
        <v>241</v>
      </c>
      <c r="U32" s="159" t="s">
        <v>565</v>
      </c>
      <c r="V32" s="159" t="s">
        <v>549</v>
      </c>
      <c r="W32" s="161">
        <v>50</v>
      </c>
      <c r="X32" s="159"/>
      <c r="Y32" s="159"/>
      <c r="Z32" s="159"/>
      <c r="AA32" s="159" t="s">
        <v>237</v>
      </c>
      <c r="AB32" s="159" t="s">
        <v>566</v>
      </c>
      <c r="AC32" s="159" t="s">
        <v>511</v>
      </c>
      <c r="AD32" s="159">
        <v>69081</v>
      </c>
      <c r="AE32" s="162">
        <v>55.925825000000003</v>
      </c>
      <c r="AF32" s="162">
        <v>0</v>
      </c>
      <c r="AG32" s="162">
        <f t="shared" si="0"/>
        <v>55.925825000000003</v>
      </c>
    </row>
    <row r="33" spans="1:33" x14ac:dyDescent="0.3">
      <c r="A33" s="159" t="s">
        <v>507</v>
      </c>
      <c r="B33" s="160" t="s">
        <v>508</v>
      </c>
      <c r="C33" s="160" t="s">
        <v>509</v>
      </c>
      <c r="D33" s="159" t="s">
        <v>510</v>
      </c>
      <c r="E33" s="159">
        <v>42</v>
      </c>
      <c r="F33" s="159">
        <v>3</v>
      </c>
      <c r="G33" s="159" t="s">
        <v>511</v>
      </c>
      <c r="H33" s="159">
        <v>69081</v>
      </c>
      <c r="I33" s="159" t="s">
        <v>512</v>
      </c>
      <c r="J33" s="159" t="s">
        <v>513</v>
      </c>
      <c r="K33" s="159" t="s">
        <v>514</v>
      </c>
      <c r="L33" s="159" t="s">
        <v>515</v>
      </c>
      <c r="M33" s="159" t="s">
        <v>346</v>
      </c>
      <c r="N33" s="159" t="s">
        <v>346</v>
      </c>
      <c r="O33" s="159"/>
      <c r="P33" s="159"/>
      <c r="Q33" s="159" t="s">
        <v>511</v>
      </c>
      <c r="R33" s="159">
        <v>69002</v>
      </c>
      <c r="S33" s="159" t="s">
        <v>518</v>
      </c>
      <c r="T33" s="160" t="s">
        <v>345</v>
      </c>
      <c r="U33" s="159" t="s">
        <v>565</v>
      </c>
      <c r="V33" s="159" t="s">
        <v>549</v>
      </c>
      <c r="W33" s="161">
        <v>16</v>
      </c>
      <c r="X33" s="159"/>
      <c r="Y33" s="159"/>
      <c r="Z33" s="159"/>
      <c r="AA33" s="159" t="s">
        <v>237</v>
      </c>
      <c r="AB33" s="159" t="s">
        <v>566</v>
      </c>
      <c r="AC33" s="159" t="s">
        <v>511</v>
      </c>
      <c r="AD33" s="159">
        <v>69081</v>
      </c>
      <c r="AE33" s="162">
        <v>10.492635</v>
      </c>
      <c r="AF33" s="162">
        <v>0</v>
      </c>
      <c r="AG33" s="162">
        <f t="shared" si="0"/>
        <v>10.492635</v>
      </c>
    </row>
    <row r="34" spans="1:33" x14ac:dyDescent="0.3">
      <c r="A34" s="159" t="s">
        <v>507</v>
      </c>
      <c r="B34" s="160" t="s">
        <v>508</v>
      </c>
      <c r="C34" s="160" t="s">
        <v>509</v>
      </c>
      <c r="D34" s="159" t="s">
        <v>510</v>
      </c>
      <c r="E34" s="159">
        <v>42</v>
      </c>
      <c r="F34" s="159">
        <v>3</v>
      </c>
      <c r="G34" s="159" t="s">
        <v>511</v>
      </c>
      <c r="H34" s="159">
        <v>69081</v>
      </c>
      <c r="I34" s="159" t="s">
        <v>512</v>
      </c>
      <c r="J34" s="159" t="s">
        <v>513</v>
      </c>
      <c r="K34" s="159" t="s">
        <v>514</v>
      </c>
      <c r="L34" s="159" t="s">
        <v>515</v>
      </c>
      <c r="M34" s="159" t="s">
        <v>290</v>
      </c>
      <c r="N34" s="159" t="s">
        <v>290</v>
      </c>
      <c r="O34" s="159"/>
      <c r="P34" s="159"/>
      <c r="Q34" s="159" t="s">
        <v>511</v>
      </c>
      <c r="R34" s="159">
        <v>69002</v>
      </c>
      <c r="S34" s="159" t="s">
        <v>518</v>
      </c>
      <c r="T34" s="160" t="s">
        <v>289</v>
      </c>
      <c r="U34" s="159" t="s">
        <v>565</v>
      </c>
      <c r="V34" s="159" t="s">
        <v>549</v>
      </c>
      <c r="W34" s="161">
        <v>50</v>
      </c>
      <c r="X34" s="159"/>
      <c r="Y34" s="159"/>
      <c r="Z34" s="159"/>
      <c r="AA34" s="159" t="s">
        <v>237</v>
      </c>
      <c r="AB34" s="159" t="s">
        <v>566</v>
      </c>
      <c r="AC34" s="159" t="s">
        <v>511</v>
      </c>
      <c r="AD34" s="159">
        <v>69081</v>
      </c>
      <c r="AE34" s="162">
        <v>28.410404</v>
      </c>
      <c r="AF34" s="162">
        <v>0</v>
      </c>
      <c r="AG34" s="162">
        <f t="shared" si="0"/>
        <v>28.410404</v>
      </c>
    </row>
    <row r="35" spans="1:33" x14ac:dyDescent="0.3">
      <c r="A35" s="159" t="s">
        <v>507</v>
      </c>
      <c r="B35" s="160" t="s">
        <v>508</v>
      </c>
      <c r="C35" s="160" t="s">
        <v>509</v>
      </c>
      <c r="D35" s="159" t="s">
        <v>510</v>
      </c>
      <c r="E35" s="159">
        <v>42</v>
      </c>
      <c r="F35" s="159">
        <v>3</v>
      </c>
      <c r="G35" s="159" t="s">
        <v>511</v>
      </c>
      <c r="H35" s="159">
        <v>69081</v>
      </c>
      <c r="I35" s="159" t="s">
        <v>512</v>
      </c>
      <c r="J35" s="159" t="s">
        <v>513</v>
      </c>
      <c r="K35" s="159" t="s">
        <v>514</v>
      </c>
      <c r="L35" s="159" t="s">
        <v>515</v>
      </c>
      <c r="M35" s="159" t="s">
        <v>294</v>
      </c>
      <c r="N35" s="159" t="s">
        <v>294</v>
      </c>
      <c r="O35" s="159"/>
      <c r="P35" s="159"/>
      <c r="Q35" s="159" t="s">
        <v>511</v>
      </c>
      <c r="R35" s="159">
        <v>69002</v>
      </c>
      <c r="S35" s="159" t="s">
        <v>518</v>
      </c>
      <c r="T35" s="160" t="s">
        <v>293</v>
      </c>
      <c r="U35" s="159" t="s">
        <v>565</v>
      </c>
      <c r="V35" s="159" t="s">
        <v>549</v>
      </c>
      <c r="W35" s="161">
        <v>40</v>
      </c>
      <c r="X35" s="159"/>
      <c r="Y35" s="159"/>
      <c r="Z35" s="159"/>
      <c r="AA35" s="159" t="s">
        <v>237</v>
      </c>
      <c r="AB35" s="159" t="s">
        <v>566</v>
      </c>
      <c r="AC35" s="159" t="s">
        <v>511</v>
      </c>
      <c r="AD35" s="159">
        <v>69081</v>
      </c>
      <c r="AE35" s="162">
        <v>27.965734000000001</v>
      </c>
      <c r="AF35" s="162">
        <v>0</v>
      </c>
      <c r="AG35" s="162">
        <f t="shared" si="0"/>
        <v>27.965734000000001</v>
      </c>
    </row>
    <row r="36" spans="1:33" x14ac:dyDescent="0.3">
      <c r="A36" s="159" t="s">
        <v>507</v>
      </c>
      <c r="B36" s="160" t="s">
        <v>508</v>
      </c>
      <c r="C36" s="160" t="s">
        <v>509</v>
      </c>
      <c r="D36" s="159" t="s">
        <v>510</v>
      </c>
      <c r="E36" s="159">
        <v>42</v>
      </c>
      <c r="F36" s="159">
        <v>3</v>
      </c>
      <c r="G36" s="159" t="s">
        <v>511</v>
      </c>
      <c r="H36" s="159">
        <v>69081</v>
      </c>
      <c r="I36" s="159" t="s">
        <v>512</v>
      </c>
      <c r="J36" s="159" t="s">
        <v>513</v>
      </c>
      <c r="K36" s="159" t="s">
        <v>514</v>
      </c>
      <c r="L36" s="159" t="s">
        <v>515</v>
      </c>
      <c r="M36" s="159" t="s">
        <v>284</v>
      </c>
      <c r="N36" s="159" t="s">
        <v>284</v>
      </c>
      <c r="O36" s="159"/>
      <c r="P36" s="159"/>
      <c r="Q36" s="159" t="s">
        <v>511</v>
      </c>
      <c r="R36" s="159">
        <v>69002</v>
      </c>
      <c r="S36" s="159" t="s">
        <v>518</v>
      </c>
      <c r="T36" s="160" t="s">
        <v>283</v>
      </c>
      <c r="U36" s="159" t="s">
        <v>565</v>
      </c>
      <c r="V36" s="159" t="s">
        <v>549</v>
      </c>
      <c r="W36" s="161">
        <v>32</v>
      </c>
      <c r="X36" s="159"/>
      <c r="Y36" s="159"/>
      <c r="Z36" s="159"/>
      <c r="AA36" s="159" t="s">
        <v>237</v>
      </c>
      <c r="AB36" s="159" t="s">
        <v>566</v>
      </c>
      <c r="AC36" s="159" t="s">
        <v>511</v>
      </c>
      <c r="AD36" s="159">
        <v>69081</v>
      </c>
      <c r="AE36" s="162">
        <v>29.687114999999999</v>
      </c>
      <c r="AF36" s="162">
        <v>0</v>
      </c>
      <c r="AG36" s="162">
        <f t="shared" si="0"/>
        <v>29.687114999999999</v>
      </c>
    </row>
    <row r="37" spans="1:33" x14ac:dyDescent="0.3">
      <c r="A37" s="159" t="s">
        <v>507</v>
      </c>
      <c r="B37" s="160" t="s">
        <v>508</v>
      </c>
      <c r="C37" s="160" t="s">
        <v>509</v>
      </c>
      <c r="D37" s="159" t="s">
        <v>510</v>
      </c>
      <c r="E37" s="159">
        <v>42</v>
      </c>
      <c r="F37" s="159">
        <v>3</v>
      </c>
      <c r="G37" s="159" t="s">
        <v>511</v>
      </c>
      <c r="H37" s="159">
        <v>69081</v>
      </c>
      <c r="I37" s="159" t="s">
        <v>512</v>
      </c>
      <c r="J37" s="159" t="s">
        <v>513</v>
      </c>
      <c r="K37" s="159" t="s">
        <v>514</v>
      </c>
      <c r="L37" s="159" t="s">
        <v>515</v>
      </c>
      <c r="M37" s="159" t="s">
        <v>332</v>
      </c>
      <c r="N37" s="159" t="s">
        <v>332</v>
      </c>
      <c r="O37" s="159"/>
      <c r="P37" s="159"/>
      <c r="Q37" s="159" t="s">
        <v>511</v>
      </c>
      <c r="R37" s="159">
        <v>69002</v>
      </c>
      <c r="S37" s="159" t="s">
        <v>518</v>
      </c>
      <c r="T37" s="160" t="s">
        <v>331</v>
      </c>
      <c r="U37" s="159" t="s">
        <v>565</v>
      </c>
      <c r="V37" s="159" t="s">
        <v>549</v>
      </c>
      <c r="W37" s="161">
        <v>20</v>
      </c>
      <c r="X37" s="159"/>
      <c r="Y37" s="159"/>
      <c r="Z37" s="159"/>
      <c r="AA37" s="159" t="s">
        <v>237</v>
      </c>
      <c r="AB37" s="159" t="s">
        <v>566</v>
      </c>
      <c r="AC37" s="159" t="s">
        <v>511</v>
      </c>
      <c r="AD37" s="159">
        <v>69081</v>
      </c>
      <c r="AE37" s="162">
        <v>17.425543000000001</v>
      </c>
      <c r="AF37" s="162">
        <v>0</v>
      </c>
      <c r="AG37" s="162">
        <f t="shared" si="0"/>
        <v>17.425543000000001</v>
      </c>
    </row>
    <row r="38" spans="1:33" x14ac:dyDescent="0.3">
      <c r="A38" s="159" t="s">
        <v>507</v>
      </c>
      <c r="B38" s="160" t="s">
        <v>508</v>
      </c>
      <c r="C38" s="160" t="s">
        <v>509</v>
      </c>
      <c r="D38" s="159" t="s">
        <v>510</v>
      </c>
      <c r="E38" s="159">
        <v>42</v>
      </c>
      <c r="F38" s="159">
        <v>3</v>
      </c>
      <c r="G38" s="159" t="s">
        <v>511</v>
      </c>
      <c r="H38" s="159">
        <v>69081</v>
      </c>
      <c r="I38" s="159" t="s">
        <v>512</v>
      </c>
      <c r="J38" s="159" t="s">
        <v>513</v>
      </c>
      <c r="K38" s="159" t="s">
        <v>514</v>
      </c>
      <c r="L38" s="159" t="s">
        <v>515</v>
      </c>
      <c r="M38" s="159" t="s">
        <v>258</v>
      </c>
      <c r="N38" s="159" t="s">
        <v>258</v>
      </c>
      <c r="O38" s="159"/>
      <c r="P38" s="159"/>
      <c r="Q38" s="159" t="s">
        <v>511</v>
      </c>
      <c r="R38" s="159">
        <v>69002</v>
      </c>
      <c r="S38" s="159" t="s">
        <v>518</v>
      </c>
      <c r="T38" s="160" t="s">
        <v>257</v>
      </c>
      <c r="U38" s="159" t="s">
        <v>565</v>
      </c>
      <c r="V38" s="159" t="s">
        <v>549</v>
      </c>
      <c r="W38" s="161">
        <v>40</v>
      </c>
      <c r="X38" s="159"/>
      <c r="Y38" s="159"/>
      <c r="Z38" s="159"/>
      <c r="AA38" s="159" t="s">
        <v>237</v>
      </c>
      <c r="AB38" s="159" t="s">
        <v>566</v>
      </c>
      <c r="AC38" s="159" t="s">
        <v>511</v>
      </c>
      <c r="AD38" s="159">
        <v>69081</v>
      </c>
      <c r="AE38" s="162">
        <v>37.742260000000002</v>
      </c>
      <c r="AF38" s="162">
        <v>0</v>
      </c>
      <c r="AG38" s="162">
        <f t="shared" si="0"/>
        <v>37.742260000000002</v>
      </c>
    </row>
    <row r="39" spans="1:33" x14ac:dyDescent="0.3">
      <c r="A39" s="159" t="s">
        <v>507</v>
      </c>
      <c r="B39" s="160" t="s">
        <v>508</v>
      </c>
      <c r="C39" s="160" t="s">
        <v>509</v>
      </c>
      <c r="D39" s="159" t="s">
        <v>510</v>
      </c>
      <c r="E39" s="159">
        <v>42</v>
      </c>
      <c r="F39" s="159">
        <v>3</v>
      </c>
      <c r="G39" s="159" t="s">
        <v>511</v>
      </c>
      <c r="H39" s="159">
        <v>69081</v>
      </c>
      <c r="I39" s="159" t="s">
        <v>512</v>
      </c>
      <c r="J39" s="159" t="s">
        <v>513</v>
      </c>
      <c r="K39" s="159" t="s">
        <v>514</v>
      </c>
      <c r="L39" s="159" t="s">
        <v>515</v>
      </c>
      <c r="M39" s="159" t="s">
        <v>318</v>
      </c>
      <c r="N39" s="159" t="s">
        <v>318</v>
      </c>
      <c r="O39" s="159"/>
      <c r="P39" s="159"/>
      <c r="Q39" s="159" t="s">
        <v>511</v>
      </c>
      <c r="R39" s="159">
        <v>69002</v>
      </c>
      <c r="S39" s="159" t="s">
        <v>518</v>
      </c>
      <c r="T39" s="160" t="s">
        <v>317</v>
      </c>
      <c r="U39" s="159" t="s">
        <v>565</v>
      </c>
      <c r="V39" s="159" t="s">
        <v>549</v>
      </c>
      <c r="W39" s="161">
        <v>20</v>
      </c>
      <c r="X39" s="159"/>
      <c r="Y39" s="159"/>
      <c r="Z39" s="159"/>
      <c r="AA39" s="159" t="s">
        <v>237</v>
      </c>
      <c r="AB39" s="159" t="s">
        <v>566</v>
      </c>
      <c r="AC39" s="159" t="s">
        <v>511</v>
      </c>
      <c r="AD39" s="159">
        <v>69081</v>
      </c>
      <c r="AE39" s="162">
        <v>22.881340999999999</v>
      </c>
      <c r="AF39" s="162">
        <v>0</v>
      </c>
      <c r="AG39" s="162">
        <f t="shared" si="0"/>
        <v>22.881340999999999</v>
      </c>
    </row>
    <row r="40" spans="1:33" x14ac:dyDescent="0.3">
      <c r="A40" s="159" t="s">
        <v>507</v>
      </c>
      <c r="B40" s="160" t="s">
        <v>508</v>
      </c>
      <c r="C40" s="160" t="s">
        <v>509</v>
      </c>
      <c r="D40" s="159" t="s">
        <v>510</v>
      </c>
      <c r="E40" s="159">
        <v>42</v>
      </c>
      <c r="F40" s="159">
        <v>3</v>
      </c>
      <c r="G40" s="159" t="s">
        <v>511</v>
      </c>
      <c r="H40" s="159">
        <v>69081</v>
      </c>
      <c r="I40" s="159" t="s">
        <v>512</v>
      </c>
      <c r="J40" s="159" t="s">
        <v>513</v>
      </c>
      <c r="K40" s="159" t="s">
        <v>514</v>
      </c>
      <c r="L40" s="159" t="s">
        <v>515</v>
      </c>
      <c r="M40" s="159" t="s">
        <v>264</v>
      </c>
      <c r="N40" s="159" t="s">
        <v>264</v>
      </c>
      <c r="O40" s="159"/>
      <c r="P40" s="159"/>
      <c r="Q40" s="159" t="s">
        <v>511</v>
      </c>
      <c r="R40" s="159">
        <v>69002</v>
      </c>
      <c r="S40" s="159" t="s">
        <v>518</v>
      </c>
      <c r="T40" s="160" t="s">
        <v>263</v>
      </c>
      <c r="U40" s="159" t="s">
        <v>565</v>
      </c>
      <c r="V40" s="159" t="s">
        <v>549</v>
      </c>
      <c r="W40" s="161">
        <v>32</v>
      </c>
      <c r="X40" s="159"/>
      <c r="Y40" s="159"/>
      <c r="Z40" s="159"/>
      <c r="AA40" s="159" t="s">
        <v>237</v>
      </c>
      <c r="AB40" s="159" t="s">
        <v>566</v>
      </c>
      <c r="AC40" s="159" t="s">
        <v>511</v>
      </c>
      <c r="AD40" s="159">
        <v>69081</v>
      </c>
      <c r="AE40" s="162">
        <v>35.040218000000003</v>
      </c>
      <c r="AF40" s="162">
        <v>0</v>
      </c>
      <c r="AG40" s="162">
        <f t="shared" si="0"/>
        <v>35.040218000000003</v>
      </c>
    </row>
    <row r="41" spans="1:33" x14ac:dyDescent="0.3">
      <c r="A41" s="159" t="s">
        <v>507</v>
      </c>
      <c r="B41" s="160" t="s">
        <v>508</v>
      </c>
      <c r="C41" s="160" t="s">
        <v>509</v>
      </c>
      <c r="D41" s="159" t="s">
        <v>510</v>
      </c>
      <c r="E41" s="159">
        <v>42</v>
      </c>
      <c r="F41" s="159">
        <v>3</v>
      </c>
      <c r="G41" s="159" t="s">
        <v>511</v>
      </c>
      <c r="H41" s="159">
        <v>69081</v>
      </c>
      <c r="I41" s="159" t="s">
        <v>512</v>
      </c>
      <c r="J41" s="159" t="s">
        <v>513</v>
      </c>
      <c r="K41" s="159" t="s">
        <v>514</v>
      </c>
      <c r="L41" s="159" t="s">
        <v>515</v>
      </c>
      <c r="M41" s="159" t="s">
        <v>270</v>
      </c>
      <c r="N41" s="159" t="s">
        <v>270</v>
      </c>
      <c r="O41" s="159"/>
      <c r="P41" s="159"/>
      <c r="Q41" s="159" t="s">
        <v>511</v>
      </c>
      <c r="R41" s="159">
        <v>69002</v>
      </c>
      <c r="S41" s="159" t="s">
        <v>518</v>
      </c>
      <c r="T41" s="160" t="s">
        <v>269</v>
      </c>
      <c r="U41" s="159" t="s">
        <v>565</v>
      </c>
      <c r="V41" s="159" t="s">
        <v>549</v>
      </c>
      <c r="W41" s="161">
        <v>50</v>
      </c>
      <c r="X41" s="159"/>
      <c r="Y41" s="159"/>
      <c r="Z41" s="159"/>
      <c r="AA41" s="159" t="s">
        <v>237</v>
      </c>
      <c r="AB41" s="159" t="s">
        <v>566</v>
      </c>
      <c r="AC41" s="159" t="s">
        <v>511</v>
      </c>
      <c r="AD41" s="159">
        <v>69081</v>
      </c>
      <c r="AE41" s="162">
        <v>32.413395000000001</v>
      </c>
      <c r="AF41" s="162">
        <v>0</v>
      </c>
      <c r="AG41" s="162">
        <f t="shared" si="0"/>
        <v>32.413395000000001</v>
      </c>
    </row>
    <row r="42" spans="1:33" x14ac:dyDescent="0.3">
      <c r="A42" s="159" t="s">
        <v>507</v>
      </c>
      <c r="B42" s="160" t="s">
        <v>508</v>
      </c>
      <c r="C42" s="160" t="s">
        <v>509</v>
      </c>
      <c r="D42" s="159" t="s">
        <v>510</v>
      </c>
      <c r="E42" s="159">
        <v>42</v>
      </c>
      <c r="F42" s="159">
        <v>3</v>
      </c>
      <c r="G42" s="159" t="s">
        <v>511</v>
      </c>
      <c r="H42" s="159">
        <v>69081</v>
      </c>
      <c r="I42" s="159" t="s">
        <v>512</v>
      </c>
      <c r="J42" s="159" t="s">
        <v>513</v>
      </c>
      <c r="K42" s="159" t="s">
        <v>514</v>
      </c>
      <c r="L42" s="159" t="s">
        <v>515</v>
      </c>
      <c r="M42" s="159" t="s">
        <v>254</v>
      </c>
      <c r="N42" s="159" t="s">
        <v>254</v>
      </c>
      <c r="O42" s="159"/>
      <c r="P42" s="159"/>
      <c r="Q42" s="159" t="s">
        <v>511</v>
      </c>
      <c r="R42" s="159">
        <v>69002</v>
      </c>
      <c r="S42" s="159" t="s">
        <v>518</v>
      </c>
      <c r="T42" s="160" t="s">
        <v>253</v>
      </c>
      <c r="U42" s="159" t="s">
        <v>565</v>
      </c>
      <c r="V42" s="159" t="s">
        <v>549</v>
      </c>
      <c r="W42" s="161">
        <v>25</v>
      </c>
      <c r="X42" s="159"/>
      <c r="Y42" s="159"/>
      <c r="Z42" s="159"/>
      <c r="AA42" s="159" t="s">
        <v>237</v>
      </c>
      <c r="AB42" s="159" t="s">
        <v>566</v>
      </c>
      <c r="AC42" s="159" t="s">
        <v>511</v>
      </c>
      <c r="AD42" s="159">
        <v>69081</v>
      </c>
      <c r="AE42" s="162">
        <v>38.072727</v>
      </c>
      <c r="AF42" s="162">
        <v>0</v>
      </c>
      <c r="AG42" s="162">
        <f t="shared" si="0"/>
        <v>38.072727</v>
      </c>
    </row>
    <row r="43" spans="1:33" x14ac:dyDescent="0.3">
      <c r="A43" s="159" t="s">
        <v>507</v>
      </c>
      <c r="B43" s="160" t="s">
        <v>508</v>
      </c>
      <c r="C43" s="160" t="s">
        <v>509</v>
      </c>
      <c r="D43" s="159" t="s">
        <v>510</v>
      </c>
      <c r="E43" s="159">
        <v>42</v>
      </c>
      <c r="F43" s="159">
        <v>3</v>
      </c>
      <c r="G43" s="159" t="s">
        <v>511</v>
      </c>
      <c r="H43" s="159">
        <v>69081</v>
      </c>
      <c r="I43" s="159" t="s">
        <v>512</v>
      </c>
      <c r="J43" s="159" t="s">
        <v>513</v>
      </c>
      <c r="K43" s="159" t="s">
        <v>514</v>
      </c>
      <c r="L43" s="159" t="s">
        <v>515</v>
      </c>
      <c r="M43" s="159" t="s">
        <v>286</v>
      </c>
      <c r="N43" s="159" t="s">
        <v>286</v>
      </c>
      <c r="O43" s="159"/>
      <c r="P43" s="159"/>
      <c r="Q43" s="159" t="s">
        <v>511</v>
      </c>
      <c r="R43" s="159">
        <v>69002</v>
      </c>
      <c r="S43" s="159" t="s">
        <v>518</v>
      </c>
      <c r="T43" s="160" t="s">
        <v>285</v>
      </c>
      <c r="U43" s="159" t="s">
        <v>565</v>
      </c>
      <c r="V43" s="159" t="s">
        <v>549</v>
      </c>
      <c r="W43" s="161">
        <v>32</v>
      </c>
      <c r="X43" s="159"/>
      <c r="Y43" s="159"/>
      <c r="Z43" s="159"/>
      <c r="AA43" s="159" t="s">
        <v>237</v>
      </c>
      <c r="AB43" s="159" t="s">
        <v>566</v>
      </c>
      <c r="AC43" s="159" t="s">
        <v>511</v>
      </c>
      <c r="AD43" s="159">
        <v>69081</v>
      </c>
      <c r="AE43" s="162">
        <v>28.736982000000001</v>
      </c>
      <c r="AF43" s="162">
        <v>0</v>
      </c>
      <c r="AG43" s="162">
        <f t="shared" si="0"/>
        <v>28.736982000000001</v>
      </c>
    </row>
    <row r="44" spans="1:33" x14ac:dyDescent="0.3">
      <c r="A44" s="159" t="s">
        <v>507</v>
      </c>
      <c r="B44" s="160" t="s">
        <v>508</v>
      </c>
      <c r="C44" s="160" t="s">
        <v>509</v>
      </c>
      <c r="D44" s="159" t="s">
        <v>510</v>
      </c>
      <c r="E44" s="159">
        <v>42</v>
      </c>
      <c r="F44" s="159">
        <v>3</v>
      </c>
      <c r="G44" s="159" t="s">
        <v>511</v>
      </c>
      <c r="H44" s="159">
        <v>69081</v>
      </c>
      <c r="I44" s="159" t="s">
        <v>512</v>
      </c>
      <c r="J44" s="159" t="s">
        <v>513</v>
      </c>
      <c r="K44" s="159" t="s">
        <v>514</v>
      </c>
      <c r="L44" s="159" t="s">
        <v>515</v>
      </c>
      <c r="M44" s="159" t="s">
        <v>280</v>
      </c>
      <c r="N44" s="159" t="s">
        <v>280</v>
      </c>
      <c r="O44" s="159"/>
      <c r="P44" s="159"/>
      <c r="Q44" s="159" t="s">
        <v>511</v>
      </c>
      <c r="R44" s="159">
        <v>69002</v>
      </c>
      <c r="S44" s="159" t="s">
        <v>518</v>
      </c>
      <c r="T44" s="160" t="s">
        <v>279</v>
      </c>
      <c r="U44" s="159" t="s">
        <v>565</v>
      </c>
      <c r="V44" s="159" t="s">
        <v>549</v>
      </c>
      <c r="W44" s="161">
        <v>40</v>
      </c>
      <c r="X44" s="159"/>
      <c r="Y44" s="159"/>
      <c r="Z44" s="159"/>
      <c r="AA44" s="159" t="s">
        <v>237</v>
      </c>
      <c r="AB44" s="159" t="s">
        <v>566</v>
      </c>
      <c r="AC44" s="159" t="s">
        <v>511</v>
      </c>
      <c r="AD44" s="159">
        <v>69081</v>
      </c>
      <c r="AE44" s="162">
        <v>29.965805</v>
      </c>
      <c r="AF44" s="162">
        <v>0</v>
      </c>
      <c r="AG44" s="162">
        <f t="shared" si="0"/>
        <v>29.965805</v>
      </c>
    </row>
    <row r="45" spans="1:33" x14ac:dyDescent="0.3">
      <c r="A45" s="159" t="s">
        <v>507</v>
      </c>
      <c r="B45" s="160" t="s">
        <v>508</v>
      </c>
      <c r="C45" s="160" t="s">
        <v>509</v>
      </c>
      <c r="D45" s="159" t="s">
        <v>510</v>
      </c>
      <c r="E45" s="159">
        <v>42</v>
      </c>
      <c r="F45" s="159">
        <v>3</v>
      </c>
      <c r="G45" s="159" t="s">
        <v>511</v>
      </c>
      <c r="H45" s="159">
        <v>69081</v>
      </c>
      <c r="I45" s="159" t="s">
        <v>512</v>
      </c>
      <c r="J45" s="159" t="s">
        <v>513</v>
      </c>
      <c r="K45" s="159" t="s">
        <v>514</v>
      </c>
      <c r="L45" s="159" t="s">
        <v>515</v>
      </c>
      <c r="M45" s="159" t="s">
        <v>350</v>
      </c>
      <c r="N45" s="159" t="s">
        <v>350</v>
      </c>
      <c r="O45" s="159"/>
      <c r="P45" s="159"/>
      <c r="Q45" s="159" t="s">
        <v>511</v>
      </c>
      <c r="R45" s="159">
        <v>69002</v>
      </c>
      <c r="S45" s="159" t="s">
        <v>518</v>
      </c>
      <c r="T45" s="160" t="s">
        <v>349</v>
      </c>
      <c r="U45" s="159" t="s">
        <v>565</v>
      </c>
      <c r="V45" s="159" t="s">
        <v>549</v>
      </c>
      <c r="W45" s="161">
        <v>25</v>
      </c>
      <c r="X45" s="159"/>
      <c r="Y45" s="159"/>
      <c r="Z45" s="159"/>
      <c r="AA45" s="159" t="s">
        <v>237</v>
      </c>
      <c r="AB45" s="159" t="s">
        <v>566</v>
      </c>
      <c r="AC45" s="159" t="s">
        <v>511</v>
      </c>
      <c r="AD45" s="159">
        <v>69081</v>
      </c>
      <c r="AE45" s="162">
        <v>8.7321449999999992</v>
      </c>
      <c r="AF45" s="162">
        <v>0</v>
      </c>
      <c r="AG45" s="162">
        <f t="shared" si="0"/>
        <v>8.7321449999999992</v>
      </c>
    </row>
    <row r="46" spans="1:33" x14ac:dyDescent="0.3">
      <c r="A46" s="159" t="s">
        <v>507</v>
      </c>
      <c r="B46" s="160" t="s">
        <v>508</v>
      </c>
      <c r="C46" s="160" t="s">
        <v>509</v>
      </c>
      <c r="D46" s="159" t="s">
        <v>510</v>
      </c>
      <c r="E46" s="159">
        <v>42</v>
      </c>
      <c r="F46" s="159">
        <v>3</v>
      </c>
      <c r="G46" s="159" t="s">
        <v>511</v>
      </c>
      <c r="H46" s="159">
        <v>69081</v>
      </c>
      <c r="I46" s="159" t="s">
        <v>512</v>
      </c>
      <c r="J46" s="159" t="s">
        <v>513</v>
      </c>
      <c r="K46" s="159" t="s">
        <v>514</v>
      </c>
      <c r="L46" s="159" t="s">
        <v>515</v>
      </c>
      <c r="M46" s="159" t="s">
        <v>282</v>
      </c>
      <c r="N46" s="159" t="s">
        <v>282</v>
      </c>
      <c r="O46" s="159"/>
      <c r="P46" s="159"/>
      <c r="Q46" s="159" t="s">
        <v>511</v>
      </c>
      <c r="R46" s="159">
        <v>69002</v>
      </c>
      <c r="S46" s="159" t="s">
        <v>518</v>
      </c>
      <c r="T46" s="160" t="s">
        <v>281</v>
      </c>
      <c r="U46" s="159" t="s">
        <v>565</v>
      </c>
      <c r="V46" s="159" t="s">
        <v>549</v>
      </c>
      <c r="W46" s="161">
        <v>40</v>
      </c>
      <c r="X46" s="159"/>
      <c r="Y46" s="159"/>
      <c r="Z46" s="159"/>
      <c r="AA46" s="159" t="s">
        <v>237</v>
      </c>
      <c r="AB46" s="159" t="s">
        <v>566</v>
      </c>
      <c r="AC46" s="159" t="s">
        <v>511</v>
      </c>
      <c r="AD46" s="159">
        <v>69081</v>
      </c>
      <c r="AE46" s="162">
        <v>29.954177999999999</v>
      </c>
      <c r="AF46" s="162">
        <v>0</v>
      </c>
      <c r="AG46" s="162">
        <f t="shared" si="0"/>
        <v>29.954177999999999</v>
      </c>
    </row>
    <row r="47" spans="1:33" x14ac:dyDescent="0.3">
      <c r="A47" s="159" t="s">
        <v>507</v>
      </c>
      <c r="B47" s="160" t="s">
        <v>508</v>
      </c>
      <c r="C47" s="160" t="s">
        <v>509</v>
      </c>
      <c r="D47" s="159" t="s">
        <v>510</v>
      </c>
      <c r="E47" s="159">
        <v>42</v>
      </c>
      <c r="F47" s="159">
        <v>3</v>
      </c>
      <c r="G47" s="159" t="s">
        <v>511</v>
      </c>
      <c r="H47" s="159">
        <v>69081</v>
      </c>
      <c r="I47" s="159" t="s">
        <v>512</v>
      </c>
      <c r="J47" s="159" t="s">
        <v>513</v>
      </c>
      <c r="K47" s="159" t="s">
        <v>514</v>
      </c>
      <c r="L47" s="159" t="s">
        <v>515</v>
      </c>
      <c r="M47" s="159" t="s">
        <v>266</v>
      </c>
      <c r="N47" s="159" t="s">
        <v>266</v>
      </c>
      <c r="O47" s="159"/>
      <c r="P47" s="159"/>
      <c r="Q47" s="159" t="s">
        <v>511</v>
      </c>
      <c r="R47" s="159">
        <v>69002</v>
      </c>
      <c r="S47" s="159" t="s">
        <v>518</v>
      </c>
      <c r="T47" s="160" t="s">
        <v>265</v>
      </c>
      <c r="U47" s="159" t="s">
        <v>565</v>
      </c>
      <c r="V47" s="159" t="s">
        <v>549</v>
      </c>
      <c r="W47" s="161">
        <v>32</v>
      </c>
      <c r="X47" s="159"/>
      <c r="Y47" s="159"/>
      <c r="Z47" s="159"/>
      <c r="AA47" s="159" t="s">
        <v>237</v>
      </c>
      <c r="AB47" s="159" t="s">
        <v>566</v>
      </c>
      <c r="AC47" s="159" t="s">
        <v>511</v>
      </c>
      <c r="AD47" s="159">
        <v>69081</v>
      </c>
      <c r="AE47" s="162">
        <v>34.949649000000001</v>
      </c>
      <c r="AF47" s="162">
        <v>0</v>
      </c>
      <c r="AG47" s="162">
        <f t="shared" si="0"/>
        <v>34.949649000000001</v>
      </c>
    </row>
    <row r="48" spans="1:33" x14ac:dyDescent="0.3">
      <c r="A48" s="159" t="s">
        <v>507</v>
      </c>
      <c r="B48" s="160" t="s">
        <v>508</v>
      </c>
      <c r="C48" s="160" t="s">
        <v>509</v>
      </c>
      <c r="D48" s="159" t="s">
        <v>510</v>
      </c>
      <c r="E48" s="159">
        <v>42</v>
      </c>
      <c r="F48" s="159">
        <v>3</v>
      </c>
      <c r="G48" s="159" t="s">
        <v>511</v>
      </c>
      <c r="H48" s="159">
        <v>69081</v>
      </c>
      <c r="I48" s="159" t="s">
        <v>512</v>
      </c>
      <c r="J48" s="159" t="s">
        <v>513</v>
      </c>
      <c r="K48" s="159" t="s">
        <v>514</v>
      </c>
      <c r="L48" s="159" t="s">
        <v>515</v>
      </c>
      <c r="M48" s="159" t="s">
        <v>302</v>
      </c>
      <c r="N48" s="159" t="s">
        <v>302</v>
      </c>
      <c r="O48" s="159"/>
      <c r="P48" s="159"/>
      <c r="Q48" s="159" t="s">
        <v>511</v>
      </c>
      <c r="R48" s="159">
        <v>69002</v>
      </c>
      <c r="S48" s="159" t="s">
        <v>518</v>
      </c>
      <c r="T48" s="160" t="s">
        <v>301</v>
      </c>
      <c r="U48" s="159" t="s">
        <v>565</v>
      </c>
      <c r="V48" s="159" t="s">
        <v>549</v>
      </c>
      <c r="W48" s="161">
        <v>25</v>
      </c>
      <c r="X48" s="159"/>
      <c r="Y48" s="159"/>
      <c r="Z48" s="159"/>
      <c r="AA48" s="159" t="s">
        <v>237</v>
      </c>
      <c r="AB48" s="159" t="s">
        <v>566</v>
      </c>
      <c r="AC48" s="159" t="s">
        <v>511</v>
      </c>
      <c r="AD48" s="159">
        <v>69081</v>
      </c>
      <c r="AE48" s="162">
        <v>27.230899999999998</v>
      </c>
      <c r="AF48" s="162">
        <v>0</v>
      </c>
      <c r="AG48" s="162">
        <f t="shared" si="0"/>
        <v>27.230899999999998</v>
      </c>
    </row>
    <row r="49" spans="1:33" x14ac:dyDescent="0.3">
      <c r="A49" s="159" t="s">
        <v>507</v>
      </c>
      <c r="B49" s="160" t="s">
        <v>508</v>
      </c>
      <c r="C49" s="160" t="s">
        <v>509</v>
      </c>
      <c r="D49" s="159" t="s">
        <v>510</v>
      </c>
      <c r="E49" s="159">
        <v>42</v>
      </c>
      <c r="F49" s="159">
        <v>3</v>
      </c>
      <c r="G49" s="159" t="s">
        <v>511</v>
      </c>
      <c r="H49" s="159">
        <v>69081</v>
      </c>
      <c r="I49" s="159" t="s">
        <v>512</v>
      </c>
      <c r="J49" s="159" t="s">
        <v>513</v>
      </c>
      <c r="K49" s="159" t="s">
        <v>514</v>
      </c>
      <c r="L49" s="159" t="s">
        <v>515</v>
      </c>
      <c r="M49" s="159" t="s">
        <v>274</v>
      </c>
      <c r="N49" s="159" t="s">
        <v>274</v>
      </c>
      <c r="O49" s="159"/>
      <c r="P49" s="159"/>
      <c r="Q49" s="159" t="s">
        <v>511</v>
      </c>
      <c r="R49" s="159">
        <v>69002</v>
      </c>
      <c r="S49" s="159" t="s">
        <v>518</v>
      </c>
      <c r="T49" s="160" t="s">
        <v>273</v>
      </c>
      <c r="U49" s="159" t="s">
        <v>565</v>
      </c>
      <c r="V49" s="159" t="s">
        <v>549</v>
      </c>
      <c r="W49" s="161">
        <v>32</v>
      </c>
      <c r="X49" s="159"/>
      <c r="Y49" s="159"/>
      <c r="Z49" s="159"/>
      <c r="AA49" s="159" t="s">
        <v>237</v>
      </c>
      <c r="AB49" s="159" t="s">
        <v>566</v>
      </c>
      <c r="AC49" s="159" t="s">
        <v>511</v>
      </c>
      <c r="AD49" s="159">
        <v>69081</v>
      </c>
      <c r="AE49" s="162">
        <v>31.940569</v>
      </c>
      <c r="AF49" s="162">
        <v>0</v>
      </c>
      <c r="AG49" s="162">
        <f t="shared" si="0"/>
        <v>31.940569</v>
      </c>
    </row>
    <row r="50" spans="1:33" x14ac:dyDescent="0.3">
      <c r="A50" s="159" t="s">
        <v>507</v>
      </c>
      <c r="B50" s="160" t="s">
        <v>508</v>
      </c>
      <c r="C50" s="160" t="s">
        <v>509</v>
      </c>
      <c r="D50" s="159" t="s">
        <v>510</v>
      </c>
      <c r="E50" s="159">
        <v>42</v>
      </c>
      <c r="F50" s="159">
        <v>3</v>
      </c>
      <c r="G50" s="159" t="s">
        <v>511</v>
      </c>
      <c r="H50" s="159">
        <v>69081</v>
      </c>
      <c r="I50" s="159" t="s">
        <v>512</v>
      </c>
      <c r="J50" s="159" t="s">
        <v>513</v>
      </c>
      <c r="K50" s="159" t="s">
        <v>514</v>
      </c>
      <c r="L50" s="159" t="s">
        <v>515</v>
      </c>
      <c r="M50" s="159" t="s">
        <v>328</v>
      </c>
      <c r="N50" s="159" t="s">
        <v>328</v>
      </c>
      <c r="O50" s="159"/>
      <c r="P50" s="159"/>
      <c r="Q50" s="159" t="s">
        <v>511</v>
      </c>
      <c r="R50" s="159">
        <v>69002</v>
      </c>
      <c r="S50" s="159" t="s">
        <v>518</v>
      </c>
      <c r="T50" s="160" t="s">
        <v>327</v>
      </c>
      <c r="U50" s="159" t="s">
        <v>565</v>
      </c>
      <c r="V50" s="159" t="s">
        <v>549</v>
      </c>
      <c r="W50" s="161">
        <v>20</v>
      </c>
      <c r="X50" s="159"/>
      <c r="Y50" s="159"/>
      <c r="Z50" s="159"/>
      <c r="AA50" s="159" t="s">
        <v>237</v>
      </c>
      <c r="AB50" s="159" t="s">
        <v>566</v>
      </c>
      <c r="AC50" s="159" t="s">
        <v>511</v>
      </c>
      <c r="AD50" s="159">
        <v>69081</v>
      </c>
      <c r="AE50" s="162">
        <v>18.718008000000001</v>
      </c>
      <c r="AF50" s="162">
        <v>0</v>
      </c>
      <c r="AG50" s="162">
        <f t="shared" si="0"/>
        <v>18.718008000000001</v>
      </c>
    </row>
    <row r="51" spans="1:33" x14ac:dyDescent="0.3">
      <c r="A51" s="159" t="s">
        <v>507</v>
      </c>
      <c r="B51" s="160" t="s">
        <v>508</v>
      </c>
      <c r="C51" s="160" t="s">
        <v>509</v>
      </c>
      <c r="D51" s="159" t="s">
        <v>510</v>
      </c>
      <c r="E51" s="159">
        <v>42</v>
      </c>
      <c r="F51" s="159">
        <v>3</v>
      </c>
      <c r="G51" s="159" t="s">
        <v>511</v>
      </c>
      <c r="H51" s="159">
        <v>69081</v>
      </c>
      <c r="I51" s="159" t="s">
        <v>512</v>
      </c>
      <c r="J51" s="159" t="s">
        <v>513</v>
      </c>
      <c r="K51" s="159" t="s">
        <v>514</v>
      </c>
      <c r="L51" s="159" t="s">
        <v>515</v>
      </c>
      <c r="M51" s="159" t="s">
        <v>278</v>
      </c>
      <c r="N51" s="159" t="s">
        <v>278</v>
      </c>
      <c r="O51" s="159"/>
      <c r="P51" s="159"/>
      <c r="Q51" s="159" t="s">
        <v>511</v>
      </c>
      <c r="R51" s="159">
        <v>69002</v>
      </c>
      <c r="S51" s="159" t="s">
        <v>518</v>
      </c>
      <c r="T51" s="160" t="s">
        <v>277</v>
      </c>
      <c r="U51" s="159" t="s">
        <v>565</v>
      </c>
      <c r="V51" s="159" t="s">
        <v>549</v>
      </c>
      <c r="W51" s="161">
        <v>50</v>
      </c>
      <c r="X51" s="159"/>
      <c r="Y51" s="159"/>
      <c r="Z51" s="159"/>
      <c r="AA51" s="159" t="s">
        <v>237</v>
      </c>
      <c r="AB51" s="159" t="s">
        <v>566</v>
      </c>
      <c r="AC51" s="159" t="s">
        <v>511</v>
      </c>
      <c r="AD51" s="159">
        <v>69081</v>
      </c>
      <c r="AE51" s="162">
        <v>31.486094999999999</v>
      </c>
      <c r="AF51" s="162">
        <v>0</v>
      </c>
      <c r="AG51" s="162">
        <f t="shared" si="0"/>
        <v>31.486094999999999</v>
      </c>
    </row>
    <row r="52" spans="1:33" x14ac:dyDescent="0.3">
      <c r="A52" s="159" t="s">
        <v>507</v>
      </c>
      <c r="B52" s="160" t="s">
        <v>508</v>
      </c>
      <c r="C52" s="160" t="s">
        <v>509</v>
      </c>
      <c r="D52" s="159" t="s">
        <v>510</v>
      </c>
      <c r="E52" s="159">
        <v>42</v>
      </c>
      <c r="F52" s="159">
        <v>3</v>
      </c>
      <c r="G52" s="159" t="s">
        <v>511</v>
      </c>
      <c r="H52" s="159">
        <v>69081</v>
      </c>
      <c r="I52" s="159" t="s">
        <v>512</v>
      </c>
      <c r="J52" s="159" t="s">
        <v>513</v>
      </c>
      <c r="K52" s="159" t="s">
        <v>514</v>
      </c>
      <c r="L52" s="159" t="s">
        <v>515</v>
      </c>
      <c r="M52" s="159" t="s">
        <v>336</v>
      </c>
      <c r="N52" s="159" t="s">
        <v>336</v>
      </c>
      <c r="O52" s="159"/>
      <c r="P52" s="159"/>
      <c r="Q52" s="159" t="s">
        <v>511</v>
      </c>
      <c r="R52" s="159">
        <v>69002</v>
      </c>
      <c r="S52" s="159" t="s">
        <v>518</v>
      </c>
      <c r="T52" s="160" t="s">
        <v>335</v>
      </c>
      <c r="U52" s="159" t="s">
        <v>565</v>
      </c>
      <c r="V52" s="159" t="s">
        <v>549</v>
      </c>
      <c r="W52" s="161">
        <v>16</v>
      </c>
      <c r="X52" s="159"/>
      <c r="Y52" s="159"/>
      <c r="Z52" s="159"/>
      <c r="AA52" s="159" t="s">
        <v>237</v>
      </c>
      <c r="AB52" s="159" t="s">
        <v>566</v>
      </c>
      <c r="AC52" s="159" t="s">
        <v>511</v>
      </c>
      <c r="AD52" s="159">
        <v>69081</v>
      </c>
      <c r="AE52" s="162">
        <v>13.27445</v>
      </c>
      <c r="AF52" s="162">
        <v>0</v>
      </c>
      <c r="AG52" s="162">
        <f t="shared" si="0"/>
        <v>13.27445</v>
      </c>
    </row>
    <row r="53" spans="1:33" x14ac:dyDescent="0.3">
      <c r="A53" s="159" t="s">
        <v>507</v>
      </c>
      <c r="B53" s="160" t="s">
        <v>508</v>
      </c>
      <c r="C53" s="160" t="s">
        <v>509</v>
      </c>
      <c r="D53" s="159" t="s">
        <v>510</v>
      </c>
      <c r="E53" s="159">
        <v>42</v>
      </c>
      <c r="F53" s="159">
        <v>3</v>
      </c>
      <c r="G53" s="159" t="s">
        <v>511</v>
      </c>
      <c r="H53" s="159">
        <v>69081</v>
      </c>
      <c r="I53" s="159" t="s">
        <v>512</v>
      </c>
      <c r="J53" s="159" t="s">
        <v>513</v>
      </c>
      <c r="K53" s="159" t="s">
        <v>514</v>
      </c>
      <c r="L53" s="159" t="s">
        <v>515</v>
      </c>
      <c r="M53" s="159" t="s">
        <v>308</v>
      </c>
      <c r="N53" s="159" t="s">
        <v>308</v>
      </c>
      <c r="O53" s="159"/>
      <c r="P53" s="159"/>
      <c r="Q53" s="159" t="s">
        <v>511</v>
      </c>
      <c r="R53" s="159">
        <v>69002</v>
      </c>
      <c r="S53" s="159" t="s">
        <v>518</v>
      </c>
      <c r="T53" s="160" t="s">
        <v>307</v>
      </c>
      <c r="U53" s="159" t="s">
        <v>565</v>
      </c>
      <c r="V53" s="159" t="s">
        <v>549</v>
      </c>
      <c r="W53" s="161">
        <v>25</v>
      </c>
      <c r="X53" s="159"/>
      <c r="Y53" s="159"/>
      <c r="Z53" s="159"/>
      <c r="AA53" s="159" t="s">
        <v>237</v>
      </c>
      <c r="AB53" s="159" t="s">
        <v>566</v>
      </c>
      <c r="AC53" s="159" t="s">
        <v>511</v>
      </c>
      <c r="AD53" s="159">
        <v>69081</v>
      </c>
      <c r="AE53" s="162">
        <v>25.100411999999999</v>
      </c>
      <c r="AF53" s="162">
        <v>0</v>
      </c>
      <c r="AG53" s="162">
        <f t="shared" si="0"/>
        <v>25.100411999999999</v>
      </c>
    </row>
    <row r="54" spans="1:33" x14ac:dyDescent="0.3">
      <c r="A54" s="159" t="s">
        <v>507</v>
      </c>
      <c r="B54" s="160" t="s">
        <v>508</v>
      </c>
      <c r="C54" s="160" t="s">
        <v>509</v>
      </c>
      <c r="D54" s="159" t="s">
        <v>510</v>
      </c>
      <c r="E54" s="159">
        <v>42</v>
      </c>
      <c r="F54" s="159">
        <v>3</v>
      </c>
      <c r="G54" s="159" t="s">
        <v>511</v>
      </c>
      <c r="H54" s="159">
        <v>69081</v>
      </c>
      <c r="I54" s="159" t="s">
        <v>512</v>
      </c>
      <c r="J54" s="159" t="s">
        <v>513</v>
      </c>
      <c r="K54" s="159" t="s">
        <v>514</v>
      </c>
      <c r="L54" s="159" t="s">
        <v>515</v>
      </c>
      <c r="M54" s="159" t="s">
        <v>256</v>
      </c>
      <c r="N54" s="159" t="s">
        <v>256</v>
      </c>
      <c r="O54" s="159"/>
      <c r="P54" s="159"/>
      <c r="Q54" s="159" t="s">
        <v>511</v>
      </c>
      <c r="R54" s="159">
        <v>69002</v>
      </c>
      <c r="S54" s="159" t="s">
        <v>518</v>
      </c>
      <c r="T54" s="160" t="s">
        <v>255</v>
      </c>
      <c r="U54" s="159" t="s">
        <v>565</v>
      </c>
      <c r="V54" s="159" t="s">
        <v>549</v>
      </c>
      <c r="W54" s="161">
        <v>25</v>
      </c>
      <c r="X54" s="159"/>
      <c r="Y54" s="159"/>
      <c r="Z54" s="159"/>
      <c r="AA54" s="159" t="s">
        <v>237</v>
      </c>
      <c r="AB54" s="159" t="s">
        <v>566</v>
      </c>
      <c r="AC54" s="159" t="s">
        <v>511</v>
      </c>
      <c r="AD54" s="159">
        <v>69081</v>
      </c>
      <c r="AE54" s="162">
        <v>38.059466999999998</v>
      </c>
      <c r="AF54" s="162">
        <v>0</v>
      </c>
      <c r="AG54" s="162">
        <f t="shared" si="0"/>
        <v>38.059466999999998</v>
      </c>
    </row>
    <row r="55" spans="1:33" x14ac:dyDescent="0.3">
      <c r="A55" s="159" t="s">
        <v>507</v>
      </c>
      <c r="B55" s="160" t="s">
        <v>508</v>
      </c>
      <c r="C55" s="160" t="s">
        <v>509</v>
      </c>
      <c r="D55" s="159" t="s">
        <v>510</v>
      </c>
      <c r="E55" s="159">
        <v>42</v>
      </c>
      <c r="F55" s="159">
        <v>3</v>
      </c>
      <c r="G55" s="159" t="s">
        <v>511</v>
      </c>
      <c r="H55" s="159">
        <v>69081</v>
      </c>
      <c r="I55" s="159" t="s">
        <v>512</v>
      </c>
      <c r="J55" s="159" t="s">
        <v>513</v>
      </c>
      <c r="K55" s="159" t="s">
        <v>514</v>
      </c>
      <c r="L55" s="159" t="s">
        <v>515</v>
      </c>
      <c r="M55" s="159" t="s">
        <v>358</v>
      </c>
      <c r="N55" s="159" t="s">
        <v>358</v>
      </c>
      <c r="O55" s="159"/>
      <c r="P55" s="159"/>
      <c r="Q55" s="159" t="s">
        <v>511</v>
      </c>
      <c r="R55" s="159">
        <v>69002</v>
      </c>
      <c r="S55" s="159" t="s">
        <v>518</v>
      </c>
      <c r="T55" s="160" t="s">
        <v>357</v>
      </c>
      <c r="U55" s="159" t="s">
        <v>565</v>
      </c>
      <c r="V55" s="159" t="s">
        <v>549</v>
      </c>
      <c r="W55" s="161">
        <v>16</v>
      </c>
      <c r="X55" s="159"/>
      <c r="Y55" s="159"/>
      <c r="Z55" s="159"/>
      <c r="AA55" s="159" t="s">
        <v>237</v>
      </c>
      <c r="AB55" s="159" t="s">
        <v>566</v>
      </c>
      <c r="AC55" s="159" t="s">
        <v>511</v>
      </c>
      <c r="AD55" s="159">
        <v>69081</v>
      </c>
      <c r="AE55" s="162">
        <v>7.3372080000000004</v>
      </c>
      <c r="AF55" s="162">
        <v>0</v>
      </c>
      <c r="AG55" s="162">
        <f t="shared" si="0"/>
        <v>7.3372080000000004</v>
      </c>
    </row>
    <row r="56" spans="1:33" x14ac:dyDescent="0.3">
      <c r="A56" s="159" t="s">
        <v>507</v>
      </c>
      <c r="B56" s="160" t="s">
        <v>508</v>
      </c>
      <c r="C56" s="160" t="s">
        <v>509</v>
      </c>
      <c r="D56" s="159" t="s">
        <v>510</v>
      </c>
      <c r="E56" s="159">
        <v>42</v>
      </c>
      <c r="F56" s="159">
        <v>3</v>
      </c>
      <c r="G56" s="159" t="s">
        <v>511</v>
      </c>
      <c r="H56" s="159">
        <v>69081</v>
      </c>
      <c r="I56" s="159" t="s">
        <v>512</v>
      </c>
      <c r="J56" s="159" t="s">
        <v>513</v>
      </c>
      <c r="K56" s="159" t="s">
        <v>514</v>
      </c>
      <c r="L56" s="159" t="s">
        <v>515</v>
      </c>
      <c r="M56" s="159" t="s">
        <v>334</v>
      </c>
      <c r="N56" s="159" t="s">
        <v>334</v>
      </c>
      <c r="O56" s="159"/>
      <c r="P56" s="159"/>
      <c r="Q56" s="159" t="s">
        <v>511</v>
      </c>
      <c r="R56" s="159">
        <v>69002</v>
      </c>
      <c r="S56" s="159" t="s">
        <v>518</v>
      </c>
      <c r="T56" s="160" t="s">
        <v>333</v>
      </c>
      <c r="U56" s="159" t="s">
        <v>565</v>
      </c>
      <c r="V56" s="159" t="s">
        <v>549</v>
      </c>
      <c r="W56" s="161">
        <v>16</v>
      </c>
      <c r="X56" s="159"/>
      <c r="Y56" s="159"/>
      <c r="Z56" s="159"/>
      <c r="AA56" s="159" t="s">
        <v>237</v>
      </c>
      <c r="AB56" s="159" t="s">
        <v>566</v>
      </c>
      <c r="AC56" s="159" t="s">
        <v>511</v>
      </c>
      <c r="AD56" s="159">
        <v>69081</v>
      </c>
      <c r="AE56" s="162">
        <v>16.496466999999999</v>
      </c>
      <c r="AF56" s="162">
        <v>0</v>
      </c>
      <c r="AG56" s="162">
        <f t="shared" si="0"/>
        <v>16.496466999999999</v>
      </c>
    </row>
    <row r="57" spans="1:33" x14ac:dyDescent="0.3">
      <c r="A57" s="159" t="s">
        <v>507</v>
      </c>
      <c r="B57" s="160" t="s">
        <v>508</v>
      </c>
      <c r="C57" s="160" t="s">
        <v>509</v>
      </c>
      <c r="D57" s="159" t="s">
        <v>510</v>
      </c>
      <c r="E57" s="159">
        <v>42</v>
      </c>
      <c r="F57" s="159">
        <v>3</v>
      </c>
      <c r="G57" s="159" t="s">
        <v>511</v>
      </c>
      <c r="H57" s="159">
        <v>69081</v>
      </c>
      <c r="I57" s="159" t="s">
        <v>512</v>
      </c>
      <c r="J57" s="159" t="s">
        <v>513</v>
      </c>
      <c r="K57" s="159" t="s">
        <v>514</v>
      </c>
      <c r="L57" s="159" t="s">
        <v>515</v>
      </c>
      <c r="M57" s="159" t="s">
        <v>250</v>
      </c>
      <c r="N57" s="159" t="s">
        <v>250</v>
      </c>
      <c r="O57" s="159"/>
      <c r="P57" s="159"/>
      <c r="Q57" s="159" t="s">
        <v>511</v>
      </c>
      <c r="R57" s="159">
        <v>69002</v>
      </c>
      <c r="S57" s="159" t="s">
        <v>518</v>
      </c>
      <c r="T57" s="160" t="s">
        <v>249</v>
      </c>
      <c r="U57" s="159" t="s">
        <v>565</v>
      </c>
      <c r="V57" s="159" t="s">
        <v>549</v>
      </c>
      <c r="W57" s="161">
        <v>25</v>
      </c>
      <c r="X57" s="159"/>
      <c r="Y57" s="159"/>
      <c r="Z57" s="159"/>
      <c r="AA57" s="159" t="s">
        <v>237</v>
      </c>
      <c r="AB57" s="159" t="s">
        <v>566</v>
      </c>
      <c r="AC57" s="159" t="s">
        <v>511</v>
      </c>
      <c r="AD57" s="159">
        <v>69081</v>
      </c>
      <c r="AE57" s="162">
        <v>45.115130000000001</v>
      </c>
      <c r="AF57" s="162">
        <v>0</v>
      </c>
      <c r="AG57" s="162">
        <f t="shared" si="0"/>
        <v>45.115130000000001</v>
      </c>
    </row>
    <row r="58" spans="1:33" x14ac:dyDescent="0.3">
      <c r="A58" s="159" t="s">
        <v>507</v>
      </c>
      <c r="B58" s="160" t="s">
        <v>508</v>
      </c>
      <c r="C58" s="160" t="s">
        <v>509</v>
      </c>
      <c r="D58" s="159" t="s">
        <v>510</v>
      </c>
      <c r="E58" s="159">
        <v>42</v>
      </c>
      <c r="F58" s="159">
        <v>3</v>
      </c>
      <c r="G58" s="159" t="s">
        <v>511</v>
      </c>
      <c r="H58" s="159">
        <v>69081</v>
      </c>
      <c r="I58" s="159" t="s">
        <v>512</v>
      </c>
      <c r="J58" s="159" t="s">
        <v>513</v>
      </c>
      <c r="K58" s="159" t="s">
        <v>514</v>
      </c>
      <c r="L58" s="159" t="s">
        <v>515</v>
      </c>
      <c r="M58" s="159" t="s">
        <v>356</v>
      </c>
      <c r="N58" s="159" t="s">
        <v>356</v>
      </c>
      <c r="O58" s="159"/>
      <c r="P58" s="159"/>
      <c r="Q58" s="159" t="s">
        <v>511</v>
      </c>
      <c r="R58" s="159">
        <v>69002</v>
      </c>
      <c r="S58" s="159" t="s">
        <v>518</v>
      </c>
      <c r="T58" s="160" t="s">
        <v>355</v>
      </c>
      <c r="U58" s="159" t="s">
        <v>565</v>
      </c>
      <c r="V58" s="159" t="s">
        <v>549</v>
      </c>
      <c r="W58" s="161">
        <v>20</v>
      </c>
      <c r="X58" s="159"/>
      <c r="Y58" s="159"/>
      <c r="Z58" s="159"/>
      <c r="AA58" s="159" t="s">
        <v>237</v>
      </c>
      <c r="AB58" s="159" t="s">
        <v>566</v>
      </c>
      <c r="AC58" s="159" t="s">
        <v>511</v>
      </c>
      <c r="AD58" s="159">
        <v>69081</v>
      </c>
      <c r="AE58" s="162">
        <v>7.6558159999999997</v>
      </c>
      <c r="AF58" s="162">
        <v>0</v>
      </c>
      <c r="AG58" s="162">
        <f t="shared" si="0"/>
        <v>7.6558159999999997</v>
      </c>
    </row>
    <row r="59" spans="1:33" x14ac:dyDescent="0.3">
      <c r="A59" s="159" t="s">
        <v>507</v>
      </c>
      <c r="B59" s="160" t="s">
        <v>508</v>
      </c>
      <c r="C59" s="160" t="s">
        <v>509</v>
      </c>
      <c r="D59" s="159" t="s">
        <v>510</v>
      </c>
      <c r="E59" s="159">
        <v>42</v>
      </c>
      <c r="F59" s="159">
        <v>3</v>
      </c>
      <c r="G59" s="159" t="s">
        <v>511</v>
      </c>
      <c r="H59" s="159">
        <v>69081</v>
      </c>
      <c r="I59" s="159" t="s">
        <v>512</v>
      </c>
      <c r="J59" s="159" t="s">
        <v>513</v>
      </c>
      <c r="K59" s="159" t="s">
        <v>514</v>
      </c>
      <c r="L59" s="159" t="s">
        <v>515</v>
      </c>
      <c r="M59" s="159" t="s">
        <v>338</v>
      </c>
      <c r="N59" s="159" t="s">
        <v>338</v>
      </c>
      <c r="O59" s="159"/>
      <c r="P59" s="159"/>
      <c r="Q59" s="159" t="s">
        <v>511</v>
      </c>
      <c r="R59" s="159">
        <v>69002</v>
      </c>
      <c r="S59" s="159" t="s">
        <v>518</v>
      </c>
      <c r="T59" s="160" t="s">
        <v>337</v>
      </c>
      <c r="U59" s="159" t="s">
        <v>565</v>
      </c>
      <c r="V59" s="159" t="s">
        <v>549</v>
      </c>
      <c r="W59" s="161">
        <v>25</v>
      </c>
      <c r="X59" s="159"/>
      <c r="Y59" s="159"/>
      <c r="Z59" s="159"/>
      <c r="AA59" s="159" t="s">
        <v>237</v>
      </c>
      <c r="AB59" s="159" t="s">
        <v>566</v>
      </c>
      <c r="AC59" s="159" t="s">
        <v>511</v>
      </c>
      <c r="AD59" s="159">
        <v>69081</v>
      </c>
      <c r="AE59" s="162">
        <v>12.840707999999999</v>
      </c>
      <c r="AF59" s="162">
        <v>0</v>
      </c>
      <c r="AG59" s="162">
        <f t="shared" si="0"/>
        <v>12.840707999999999</v>
      </c>
    </row>
    <row r="60" spans="1:33" x14ac:dyDescent="0.3">
      <c r="A60" s="159" t="s">
        <v>507</v>
      </c>
      <c r="B60" s="160" t="s">
        <v>508</v>
      </c>
      <c r="C60" s="160" t="s">
        <v>509</v>
      </c>
      <c r="D60" s="159" t="s">
        <v>510</v>
      </c>
      <c r="E60" s="159">
        <v>42</v>
      </c>
      <c r="F60" s="159">
        <v>3</v>
      </c>
      <c r="G60" s="159" t="s">
        <v>511</v>
      </c>
      <c r="H60" s="159">
        <v>69081</v>
      </c>
      <c r="I60" s="159" t="s">
        <v>512</v>
      </c>
      <c r="J60" s="159" t="s">
        <v>513</v>
      </c>
      <c r="K60" s="159" t="s">
        <v>514</v>
      </c>
      <c r="L60" s="159" t="s">
        <v>515</v>
      </c>
      <c r="M60" s="159" t="s">
        <v>314</v>
      </c>
      <c r="N60" s="159" t="s">
        <v>314</v>
      </c>
      <c r="O60" s="159"/>
      <c r="P60" s="159"/>
      <c r="Q60" s="159" t="s">
        <v>511</v>
      </c>
      <c r="R60" s="159">
        <v>69002</v>
      </c>
      <c r="S60" s="159" t="s">
        <v>518</v>
      </c>
      <c r="T60" s="160" t="s">
        <v>313</v>
      </c>
      <c r="U60" s="159" t="s">
        <v>565</v>
      </c>
      <c r="V60" s="159" t="s">
        <v>549</v>
      </c>
      <c r="W60" s="161">
        <v>32</v>
      </c>
      <c r="X60" s="159"/>
      <c r="Y60" s="159"/>
      <c r="Z60" s="159"/>
      <c r="AA60" s="159" t="s">
        <v>237</v>
      </c>
      <c r="AB60" s="159" t="s">
        <v>566</v>
      </c>
      <c r="AC60" s="159" t="s">
        <v>511</v>
      </c>
      <c r="AD60" s="159">
        <v>69081</v>
      </c>
      <c r="AE60" s="162">
        <v>23.353418999999999</v>
      </c>
      <c r="AF60" s="162">
        <v>0</v>
      </c>
      <c r="AG60" s="162">
        <f t="shared" si="0"/>
        <v>23.353418999999999</v>
      </c>
    </row>
    <row r="61" spans="1:33" x14ac:dyDescent="0.3">
      <c r="A61" s="159" t="s">
        <v>507</v>
      </c>
      <c r="B61" s="160" t="s">
        <v>508</v>
      </c>
      <c r="C61" s="160" t="s">
        <v>509</v>
      </c>
      <c r="D61" s="159" t="s">
        <v>510</v>
      </c>
      <c r="E61" s="159">
        <v>42</v>
      </c>
      <c r="F61" s="159">
        <v>3</v>
      </c>
      <c r="G61" s="159" t="s">
        <v>511</v>
      </c>
      <c r="H61" s="159">
        <v>69081</v>
      </c>
      <c r="I61" s="159" t="s">
        <v>512</v>
      </c>
      <c r="J61" s="159" t="s">
        <v>513</v>
      </c>
      <c r="K61" s="159" t="s">
        <v>514</v>
      </c>
      <c r="L61" s="159" t="s">
        <v>515</v>
      </c>
      <c r="M61" s="159" t="s">
        <v>248</v>
      </c>
      <c r="N61" s="159" t="s">
        <v>248</v>
      </c>
      <c r="O61" s="159"/>
      <c r="P61" s="159"/>
      <c r="Q61" s="159" t="s">
        <v>511</v>
      </c>
      <c r="R61" s="159">
        <v>69002</v>
      </c>
      <c r="S61" s="159" t="s">
        <v>518</v>
      </c>
      <c r="T61" s="160" t="s">
        <v>247</v>
      </c>
      <c r="U61" s="159" t="s">
        <v>565</v>
      </c>
      <c r="V61" s="159" t="s">
        <v>549</v>
      </c>
      <c r="W61" s="161">
        <v>50</v>
      </c>
      <c r="X61" s="159"/>
      <c r="Y61" s="159"/>
      <c r="Z61" s="159"/>
      <c r="AA61" s="159" t="s">
        <v>237</v>
      </c>
      <c r="AB61" s="159" t="s">
        <v>566</v>
      </c>
      <c r="AC61" s="159" t="s">
        <v>511</v>
      </c>
      <c r="AD61" s="159">
        <v>69081</v>
      </c>
      <c r="AE61" s="162">
        <v>48.667110000000001</v>
      </c>
      <c r="AF61" s="162">
        <v>0</v>
      </c>
      <c r="AG61" s="162">
        <f t="shared" si="0"/>
        <v>48.667110000000001</v>
      </c>
    </row>
    <row r="62" spans="1:33" x14ac:dyDescent="0.3">
      <c r="A62" s="159" t="s">
        <v>507</v>
      </c>
      <c r="B62" s="160" t="s">
        <v>508</v>
      </c>
      <c r="C62" s="160" t="s">
        <v>509</v>
      </c>
      <c r="D62" s="159" t="s">
        <v>510</v>
      </c>
      <c r="E62" s="159">
        <v>42</v>
      </c>
      <c r="F62" s="159">
        <v>3</v>
      </c>
      <c r="G62" s="159" t="s">
        <v>511</v>
      </c>
      <c r="H62" s="159">
        <v>69081</v>
      </c>
      <c r="I62" s="159" t="s">
        <v>512</v>
      </c>
      <c r="J62" s="159" t="s">
        <v>513</v>
      </c>
      <c r="K62" s="159" t="s">
        <v>514</v>
      </c>
      <c r="L62" s="159" t="s">
        <v>515</v>
      </c>
      <c r="M62" s="159" t="s">
        <v>260</v>
      </c>
      <c r="N62" s="159" t="s">
        <v>260</v>
      </c>
      <c r="O62" s="159"/>
      <c r="P62" s="159"/>
      <c r="Q62" s="159" t="s">
        <v>511</v>
      </c>
      <c r="R62" s="159">
        <v>69002</v>
      </c>
      <c r="S62" s="159" t="s">
        <v>518</v>
      </c>
      <c r="T62" s="160" t="s">
        <v>259</v>
      </c>
      <c r="U62" s="159" t="s">
        <v>565</v>
      </c>
      <c r="V62" s="159" t="s">
        <v>549</v>
      </c>
      <c r="W62" s="161">
        <v>40</v>
      </c>
      <c r="X62" s="159"/>
      <c r="Y62" s="159"/>
      <c r="Z62" s="159"/>
      <c r="AA62" s="159" t="s">
        <v>237</v>
      </c>
      <c r="AB62" s="159" t="s">
        <v>566</v>
      </c>
      <c r="AC62" s="159" t="s">
        <v>511</v>
      </c>
      <c r="AD62" s="159">
        <v>69081</v>
      </c>
      <c r="AE62" s="162">
        <v>35.585102999999997</v>
      </c>
      <c r="AF62" s="162">
        <v>0</v>
      </c>
      <c r="AG62" s="162">
        <f t="shared" si="0"/>
        <v>35.585102999999997</v>
      </c>
    </row>
    <row r="63" spans="1:33" x14ac:dyDescent="0.3">
      <c r="A63" s="159" t="s">
        <v>507</v>
      </c>
      <c r="B63" s="160" t="s">
        <v>508</v>
      </c>
      <c r="C63" s="160" t="s">
        <v>509</v>
      </c>
      <c r="D63" s="159" t="s">
        <v>510</v>
      </c>
      <c r="E63" s="159">
        <v>42</v>
      </c>
      <c r="F63" s="159">
        <v>3</v>
      </c>
      <c r="G63" s="159" t="s">
        <v>511</v>
      </c>
      <c r="H63" s="159">
        <v>69081</v>
      </c>
      <c r="I63" s="159" t="s">
        <v>512</v>
      </c>
      <c r="J63" s="159" t="s">
        <v>513</v>
      </c>
      <c r="K63" s="159" t="s">
        <v>514</v>
      </c>
      <c r="L63" s="159" t="s">
        <v>515</v>
      </c>
      <c r="M63" s="159" t="s">
        <v>304</v>
      </c>
      <c r="N63" s="159" t="s">
        <v>304</v>
      </c>
      <c r="O63" s="159"/>
      <c r="P63" s="159"/>
      <c r="Q63" s="159" t="s">
        <v>511</v>
      </c>
      <c r="R63" s="159">
        <v>69002</v>
      </c>
      <c r="S63" s="159" t="s">
        <v>518</v>
      </c>
      <c r="T63" s="160" t="s">
        <v>303</v>
      </c>
      <c r="U63" s="159" t="s">
        <v>565</v>
      </c>
      <c r="V63" s="159" t="s">
        <v>549</v>
      </c>
      <c r="W63" s="161">
        <v>32</v>
      </c>
      <c r="X63" s="159"/>
      <c r="Y63" s="159"/>
      <c r="Z63" s="159"/>
      <c r="AA63" s="159" t="s">
        <v>237</v>
      </c>
      <c r="AB63" s="159" t="s">
        <v>566</v>
      </c>
      <c r="AC63" s="159" t="s">
        <v>511</v>
      </c>
      <c r="AD63" s="159">
        <v>69081</v>
      </c>
      <c r="AE63" s="162">
        <v>25.350594000000001</v>
      </c>
      <c r="AF63" s="162">
        <v>0</v>
      </c>
      <c r="AG63" s="162">
        <f t="shared" si="0"/>
        <v>25.350594000000001</v>
      </c>
    </row>
    <row r="64" spans="1:33" x14ac:dyDescent="0.3">
      <c r="A64" s="159" t="s">
        <v>507</v>
      </c>
      <c r="B64" s="160" t="s">
        <v>508</v>
      </c>
      <c r="C64" s="160" t="s">
        <v>509</v>
      </c>
      <c r="D64" s="159" t="s">
        <v>510</v>
      </c>
      <c r="E64" s="159">
        <v>42</v>
      </c>
      <c r="F64" s="159">
        <v>3</v>
      </c>
      <c r="G64" s="159" t="s">
        <v>511</v>
      </c>
      <c r="H64" s="159">
        <v>69081</v>
      </c>
      <c r="I64" s="159" t="s">
        <v>512</v>
      </c>
      <c r="J64" s="159" t="s">
        <v>513</v>
      </c>
      <c r="K64" s="159" t="s">
        <v>514</v>
      </c>
      <c r="L64" s="159" t="s">
        <v>515</v>
      </c>
      <c r="M64" s="159" t="s">
        <v>272</v>
      </c>
      <c r="N64" s="159" t="s">
        <v>272</v>
      </c>
      <c r="O64" s="159"/>
      <c r="P64" s="159"/>
      <c r="Q64" s="159" t="s">
        <v>511</v>
      </c>
      <c r="R64" s="159">
        <v>69002</v>
      </c>
      <c r="S64" s="159" t="s">
        <v>518</v>
      </c>
      <c r="T64" s="160" t="s">
        <v>271</v>
      </c>
      <c r="U64" s="159" t="s">
        <v>565</v>
      </c>
      <c r="V64" s="159" t="s">
        <v>549</v>
      </c>
      <c r="W64" s="161">
        <v>40</v>
      </c>
      <c r="X64" s="159"/>
      <c r="Y64" s="159"/>
      <c r="Z64" s="159"/>
      <c r="AA64" s="159" t="s">
        <v>237</v>
      </c>
      <c r="AB64" s="159" t="s">
        <v>566</v>
      </c>
      <c r="AC64" s="159" t="s">
        <v>511</v>
      </c>
      <c r="AD64" s="159">
        <v>69081</v>
      </c>
      <c r="AE64" s="162">
        <v>32.185184999999997</v>
      </c>
      <c r="AF64" s="162">
        <v>0</v>
      </c>
      <c r="AG64" s="162">
        <f t="shared" si="0"/>
        <v>32.185184999999997</v>
      </c>
    </row>
    <row r="65" spans="1:33" x14ac:dyDescent="0.3">
      <c r="A65" s="159" t="s">
        <v>507</v>
      </c>
      <c r="B65" s="160" t="s">
        <v>508</v>
      </c>
      <c r="C65" s="160" t="s">
        <v>509</v>
      </c>
      <c r="D65" s="159" t="s">
        <v>510</v>
      </c>
      <c r="E65" s="159">
        <v>42</v>
      </c>
      <c r="F65" s="159">
        <v>3</v>
      </c>
      <c r="G65" s="159" t="s">
        <v>511</v>
      </c>
      <c r="H65" s="159">
        <v>69081</v>
      </c>
      <c r="I65" s="159" t="s">
        <v>512</v>
      </c>
      <c r="J65" s="159" t="s">
        <v>513</v>
      </c>
      <c r="K65" s="159" t="s">
        <v>514</v>
      </c>
      <c r="L65" s="159" t="s">
        <v>515</v>
      </c>
      <c r="M65" s="159" t="s">
        <v>312</v>
      </c>
      <c r="N65" s="159" t="s">
        <v>312</v>
      </c>
      <c r="O65" s="159"/>
      <c r="P65" s="159"/>
      <c r="Q65" s="159" t="s">
        <v>511</v>
      </c>
      <c r="R65" s="159">
        <v>69002</v>
      </c>
      <c r="S65" s="159" t="s">
        <v>518</v>
      </c>
      <c r="T65" s="160" t="s">
        <v>311</v>
      </c>
      <c r="U65" s="159" t="s">
        <v>565</v>
      </c>
      <c r="V65" s="159" t="s">
        <v>549</v>
      </c>
      <c r="W65" s="161">
        <v>32</v>
      </c>
      <c r="X65" s="159"/>
      <c r="Y65" s="159"/>
      <c r="Z65" s="159"/>
      <c r="AA65" s="159" t="s">
        <v>237</v>
      </c>
      <c r="AB65" s="159" t="s">
        <v>566</v>
      </c>
      <c r="AC65" s="159" t="s">
        <v>511</v>
      </c>
      <c r="AD65" s="159">
        <v>69081</v>
      </c>
      <c r="AE65" s="162">
        <v>23.710519000000001</v>
      </c>
      <c r="AF65" s="162">
        <v>0</v>
      </c>
      <c r="AG65" s="162">
        <f t="shared" si="0"/>
        <v>23.710519000000001</v>
      </c>
    </row>
    <row r="66" spans="1:33" x14ac:dyDescent="0.3">
      <c r="A66" s="159" t="s">
        <v>507</v>
      </c>
      <c r="B66" s="160" t="s">
        <v>508</v>
      </c>
      <c r="C66" s="160" t="s">
        <v>509</v>
      </c>
      <c r="D66" s="159" t="s">
        <v>510</v>
      </c>
      <c r="E66" s="159">
        <v>42</v>
      </c>
      <c r="F66" s="159">
        <v>3</v>
      </c>
      <c r="G66" s="159" t="s">
        <v>511</v>
      </c>
      <c r="H66" s="159">
        <v>69081</v>
      </c>
      <c r="I66" s="159" t="s">
        <v>512</v>
      </c>
      <c r="J66" s="159" t="s">
        <v>513</v>
      </c>
      <c r="K66" s="159" t="s">
        <v>514</v>
      </c>
      <c r="L66" s="159" t="s">
        <v>515</v>
      </c>
      <c r="M66" s="159" t="s">
        <v>300</v>
      </c>
      <c r="N66" s="159" t="s">
        <v>300</v>
      </c>
      <c r="O66" s="159"/>
      <c r="P66" s="159"/>
      <c r="Q66" s="159" t="s">
        <v>511</v>
      </c>
      <c r="R66" s="159">
        <v>69002</v>
      </c>
      <c r="S66" s="159" t="s">
        <v>518</v>
      </c>
      <c r="T66" s="160" t="s">
        <v>299</v>
      </c>
      <c r="U66" s="159" t="s">
        <v>565</v>
      </c>
      <c r="V66" s="159" t="s">
        <v>549</v>
      </c>
      <c r="W66" s="161">
        <v>40</v>
      </c>
      <c r="X66" s="159"/>
      <c r="Y66" s="159"/>
      <c r="Z66" s="159"/>
      <c r="AA66" s="159" t="s">
        <v>237</v>
      </c>
      <c r="AB66" s="159" t="s">
        <v>566</v>
      </c>
      <c r="AC66" s="159" t="s">
        <v>511</v>
      </c>
      <c r="AD66" s="159">
        <v>69081</v>
      </c>
      <c r="AE66" s="162">
        <v>27.262125000000001</v>
      </c>
      <c r="AF66" s="162">
        <v>0</v>
      </c>
      <c r="AG66" s="162">
        <f t="shared" si="0"/>
        <v>27.262125000000001</v>
      </c>
    </row>
    <row r="67" spans="1:33" x14ac:dyDescent="0.3">
      <c r="A67" s="159" t="s">
        <v>507</v>
      </c>
      <c r="B67" s="160" t="s">
        <v>508</v>
      </c>
      <c r="C67" s="160" t="s">
        <v>509</v>
      </c>
      <c r="D67" s="159" t="s">
        <v>510</v>
      </c>
      <c r="E67" s="159">
        <v>42</v>
      </c>
      <c r="F67" s="159">
        <v>3</v>
      </c>
      <c r="G67" s="159" t="s">
        <v>511</v>
      </c>
      <c r="H67" s="159">
        <v>69081</v>
      </c>
      <c r="I67" s="159" t="s">
        <v>512</v>
      </c>
      <c r="J67" s="159" t="s">
        <v>513</v>
      </c>
      <c r="K67" s="159" t="s">
        <v>514</v>
      </c>
      <c r="L67" s="159" t="s">
        <v>515</v>
      </c>
      <c r="M67" s="159" t="s">
        <v>316</v>
      </c>
      <c r="N67" s="159" t="s">
        <v>316</v>
      </c>
      <c r="O67" s="159"/>
      <c r="P67" s="159"/>
      <c r="Q67" s="159" t="s">
        <v>511</v>
      </c>
      <c r="R67" s="159">
        <v>69002</v>
      </c>
      <c r="S67" s="159" t="s">
        <v>518</v>
      </c>
      <c r="T67" s="160" t="s">
        <v>315</v>
      </c>
      <c r="U67" s="159" t="s">
        <v>565</v>
      </c>
      <c r="V67" s="159" t="s">
        <v>549</v>
      </c>
      <c r="W67" s="161">
        <v>25</v>
      </c>
      <c r="X67" s="159"/>
      <c r="Y67" s="159"/>
      <c r="Z67" s="159"/>
      <c r="AA67" s="159" t="s">
        <v>237</v>
      </c>
      <c r="AB67" s="159" t="s">
        <v>566</v>
      </c>
      <c r="AC67" s="159" t="s">
        <v>511</v>
      </c>
      <c r="AD67" s="159">
        <v>69081</v>
      </c>
      <c r="AE67" s="162">
        <v>22.989583</v>
      </c>
      <c r="AF67" s="162">
        <v>0</v>
      </c>
      <c r="AG67" s="162">
        <f t="shared" si="0"/>
        <v>22.989583</v>
      </c>
    </row>
    <row r="68" spans="1:33" x14ac:dyDescent="0.3">
      <c r="A68" s="159" t="s">
        <v>507</v>
      </c>
      <c r="B68" s="160" t="s">
        <v>508</v>
      </c>
      <c r="C68" s="160" t="s">
        <v>509</v>
      </c>
      <c r="D68" s="159" t="s">
        <v>510</v>
      </c>
      <c r="E68" s="159">
        <v>42</v>
      </c>
      <c r="F68" s="159">
        <v>3</v>
      </c>
      <c r="G68" s="159" t="s">
        <v>511</v>
      </c>
      <c r="H68" s="159">
        <v>69081</v>
      </c>
      <c r="I68" s="159" t="s">
        <v>512</v>
      </c>
      <c r="J68" s="159" t="s">
        <v>513</v>
      </c>
      <c r="K68" s="159" t="s">
        <v>514</v>
      </c>
      <c r="L68" s="159" t="s">
        <v>515</v>
      </c>
      <c r="M68" s="159" t="s">
        <v>360</v>
      </c>
      <c r="N68" s="159" t="s">
        <v>360</v>
      </c>
      <c r="O68" s="159"/>
      <c r="P68" s="159"/>
      <c r="Q68" s="159" t="s">
        <v>511</v>
      </c>
      <c r="R68" s="159">
        <v>69002</v>
      </c>
      <c r="S68" s="159" t="s">
        <v>518</v>
      </c>
      <c r="T68" s="160" t="s">
        <v>359</v>
      </c>
      <c r="U68" s="159" t="s">
        <v>565</v>
      </c>
      <c r="V68" s="159" t="s">
        <v>549</v>
      </c>
      <c r="W68" s="161">
        <v>16</v>
      </c>
      <c r="X68" s="159"/>
      <c r="Y68" s="159"/>
      <c r="Z68" s="159"/>
      <c r="AA68" s="159" t="s">
        <v>237</v>
      </c>
      <c r="AB68" s="159" t="s">
        <v>566</v>
      </c>
      <c r="AC68" s="159" t="s">
        <v>511</v>
      </c>
      <c r="AD68" s="159">
        <v>69081</v>
      </c>
      <c r="AE68" s="162">
        <v>6.3408759999999997</v>
      </c>
      <c r="AF68" s="162">
        <v>0</v>
      </c>
      <c r="AG68" s="162">
        <f t="shared" si="0"/>
        <v>6.3408759999999997</v>
      </c>
    </row>
    <row r="69" spans="1:33" x14ac:dyDescent="0.3">
      <c r="A69" s="159" t="s">
        <v>507</v>
      </c>
      <c r="B69" s="160" t="s">
        <v>508</v>
      </c>
      <c r="C69" s="160" t="s">
        <v>509</v>
      </c>
      <c r="D69" s="159" t="s">
        <v>510</v>
      </c>
      <c r="E69" s="159">
        <v>42</v>
      </c>
      <c r="F69" s="159">
        <v>3</v>
      </c>
      <c r="G69" s="159" t="s">
        <v>511</v>
      </c>
      <c r="H69" s="159">
        <v>69081</v>
      </c>
      <c r="I69" s="159" t="s">
        <v>512</v>
      </c>
      <c r="J69" s="159" t="s">
        <v>513</v>
      </c>
      <c r="K69" s="159" t="s">
        <v>514</v>
      </c>
      <c r="L69" s="159" t="s">
        <v>515</v>
      </c>
      <c r="M69" s="159" t="s">
        <v>326</v>
      </c>
      <c r="N69" s="159" t="s">
        <v>326</v>
      </c>
      <c r="O69" s="159"/>
      <c r="P69" s="159"/>
      <c r="Q69" s="159" t="s">
        <v>511</v>
      </c>
      <c r="R69" s="159">
        <v>69002</v>
      </c>
      <c r="S69" s="159" t="s">
        <v>518</v>
      </c>
      <c r="T69" s="160" t="s">
        <v>325</v>
      </c>
      <c r="U69" s="159" t="s">
        <v>565</v>
      </c>
      <c r="V69" s="159" t="s">
        <v>549</v>
      </c>
      <c r="W69" s="161">
        <v>16</v>
      </c>
      <c r="X69" s="159"/>
      <c r="Y69" s="159"/>
      <c r="Z69" s="159"/>
      <c r="AA69" s="159" t="s">
        <v>237</v>
      </c>
      <c r="AB69" s="159" t="s">
        <v>566</v>
      </c>
      <c r="AC69" s="159" t="s">
        <v>511</v>
      </c>
      <c r="AD69" s="159">
        <v>69081</v>
      </c>
      <c r="AE69" s="162">
        <v>20.817625</v>
      </c>
      <c r="AF69" s="162">
        <v>0</v>
      </c>
      <c r="AG69" s="162">
        <f t="shared" si="0"/>
        <v>20.817625</v>
      </c>
    </row>
    <row r="70" spans="1:33" x14ac:dyDescent="0.3">
      <c r="A70" s="159" t="s">
        <v>507</v>
      </c>
      <c r="B70" s="160" t="s">
        <v>508</v>
      </c>
      <c r="C70" s="160" t="s">
        <v>509</v>
      </c>
      <c r="D70" s="159" t="s">
        <v>510</v>
      </c>
      <c r="E70" s="159">
        <v>42</v>
      </c>
      <c r="F70" s="159">
        <v>3</v>
      </c>
      <c r="G70" s="159" t="s">
        <v>511</v>
      </c>
      <c r="H70" s="159">
        <v>69081</v>
      </c>
      <c r="I70" s="159" t="s">
        <v>512</v>
      </c>
      <c r="J70" s="159" t="s">
        <v>513</v>
      </c>
      <c r="K70" s="159" t="s">
        <v>514</v>
      </c>
      <c r="L70" s="159" t="s">
        <v>515</v>
      </c>
      <c r="M70" s="159" t="s">
        <v>372</v>
      </c>
      <c r="N70" s="159" t="s">
        <v>372</v>
      </c>
      <c r="O70" s="159"/>
      <c r="P70" s="159"/>
      <c r="Q70" s="159" t="s">
        <v>511</v>
      </c>
      <c r="R70" s="159">
        <v>69002</v>
      </c>
      <c r="S70" s="159" t="s">
        <v>518</v>
      </c>
      <c r="T70" s="160" t="s">
        <v>371</v>
      </c>
      <c r="U70" s="159" t="s">
        <v>519</v>
      </c>
      <c r="V70" s="159" t="s">
        <v>549</v>
      </c>
      <c r="W70" s="161">
        <v>10</v>
      </c>
      <c r="X70" s="159"/>
      <c r="Y70" s="159"/>
      <c r="Z70" s="159"/>
      <c r="AA70" s="159" t="s">
        <v>237</v>
      </c>
      <c r="AB70" s="159" t="s">
        <v>566</v>
      </c>
      <c r="AC70" s="159" t="s">
        <v>511</v>
      </c>
      <c r="AD70" s="159">
        <v>69081</v>
      </c>
      <c r="AE70" s="162">
        <v>2.8372000000000001E-2</v>
      </c>
      <c r="AF70" s="162">
        <v>0</v>
      </c>
      <c r="AG70" s="162">
        <f t="shared" ref="AG70:AG133" si="1">AF70+AE70</f>
        <v>2.8372000000000001E-2</v>
      </c>
    </row>
    <row r="71" spans="1:33" x14ac:dyDescent="0.3">
      <c r="A71" s="159" t="s">
        <v>507</v>
      </c>
      <c r="B71" s="160" t="s">
        <v>508</v>
      </c>
      <c r="C71" s="160" t="s">
        <v>509</v>
      </c>
      <c r="D71" s="159" t="s">
        <v>510</v>
      </c>
      <c r="E71" s="159">
        <v>42</v>
      </c>
      <c r="F71" s="159">
        <v>3</v>
      </c>
      <c r="G71" s="159" t="s">
        <v>511</v>
      </c>
      <c r="H71" s="159">
        <v>69081</v>
      </c>
      <c r="I71" s="159" t="s">
        <v>512</v>
      </c>
      <c r="J71" s="159" t="s">
        <v>513</v>
      </c>
      <c r="K71" s="159" t="s">
        <v>514</v>
      </c>
      <c r="L71" s="159" t="s">
        <v>515</v>
      </c>
      <c r="M71" s="159" t="s">
        <v>288</v>
      </c>
      <c r="N71" s="159" t="s">
        <v>288</v>
      </c>
      <c r="O71" s="159"/>
      <c r="P71" s="159"/>
      <c r="Q71" s="159" t="s">
        <v>511</v>
      </c>
      <c r="R71" s="159">
        <v>69002</v>
      </c>
      <c r="S71" s="159" t="s">
        <v>518</v>
      </c>
      <c r="T71" s="160" t="s">
        <v>287</v>
      </c>
      <c r="U71" s="159" t="s">
        <v>565</v>
      </c>
      <c r="V71" s="159" t="s">
        <v>549</v>
      </c>
      <c r="W71" s="161">
        <v>32</v>
      </c>
      <c r="X71" s="159"/>
      <c r="Y71" s="159"/>
      <c r="Z71" s="159"/>
      <c r="AA71" s="159" t="s">
        <v>237</v>
      </c>
      <c r="AB71" s="159" t="s">
        <v>566</v>
      </c>
      <c r="AC71" s="159" t="s">
        <v>511</v>
      </c>
      <c r="AD71" s="159">
        <v>69081</v>
      </c>
      <c r="AE71" s="162">
        <v>28.492152999999998</v>
      </c>
      <c r="AF71" s="162">
        <v>0</v>
      </c>
      <c r="AG71" s="162">
        <f t="shared" si="1"/>
        <v>28.492152999999998</v>
      </c>
    </row>
    <row r="72" spans="1:33" x14ac:dyDescent="0.3">
      <c r="A72" s="159" t="s">
        <v>507</v>
      </c>
      <c r="B72" s="160" t="s">
        <v>508</v>
      </c>
      <c r="C72" s="160" t="s">
        <v>509</v>
      </c>
      <c r="D72" s="159" t="s">
        <v>510</v>
      </c>
      <c r="E72" s="159">
        <v>42</v>
      </c>
      <c r="F72" s="159">
        <v>3</v>
      </c>
      <c r="G72" s="159" t="s">
        <v>511</v>
      </c>
      <c r="H72" s="159">
        <v>69081</v>
      </c>
      <c r="I72" s="159" t="s">
        <v>512</v>
      </c>
      <c r="J72" s="159" t="s">
        <v>513</v>
      </c>
      <c r="K72" s="159" t="s">
        <v>514</v>
      </c>
      <c r="L72" s="159" t="s">
        <v>515</v>
      </c>
      <c r="M72" s="159" t="s">
        <v>246</v>
      </c>
      <c r="N72" s="159" t="s">
        <v>246</v>
      </c>
      <c r="O72" s="159"/>
      <c r="P72" s="159"/>
      <c r="Q72" s="159" t="s">
        <v>511</v>
      </c>
      <c r="R72" s="159">
        <v>69002</v>
      </c>
      <c r="S72" s="159" t="s">
        <v>518</v>
      </c>
      <c r="T72" s="160" t="s">
        <v>245</v>
      </c>
      <c r="U72" s="159" t="s">
        <v>565</v>
      </c>
      <c r="V72" s="159" t="s">
        <v>549</v>
      </c>
      <c r="W72" s="161">
        <v>63</v>
      </c>
      <c r="X72" s="159"/>
      <c r="Y72" s="159"/>
      <c r="Z72" s="159"/>
      <c r="AA72" s="159" t="s">
        <v>237</v>
      </c>
      <c r="AB72" s="159" t="s">
        <v>566</v>
      </c>
      <c r="AC72" s="159" t="s">
        <v>511</v>
      </c>
      <c r="AD72" s="159">
        <v>69081</v>
      </c>
      <c r="AE72" s="162">
        <v>51.368450000000003</v>
      </c>
      <c r="AF72" s="162">
        <v>0</v>
      </c>
      <c r="AG72" s="162">
        <f t="shared" si="1"/>
        <v>51.368450000000003</v>
      </c>
    </row>
    <row r="73" spans="1:33" x14ac:dyDescent="0.3">
      <c r="A73" s="159" t="s">
        <v>507</v>
      </c>
      <c r="B73" s="160" t="s">
        <v>508</v>
      </c>
      <c r="C73" s="160" t="s">
        <v>509</v>
      </c>
      <c r="D73" s="159" t="s">
        <v>510</v>
      </c>
      <c r="E73" s="159">
        <v>42</v>
      </c>
      <c r="F73" s="159">
        <v>3</v>
      </c>
      <c r="G73" s="159" t="s">
        <v>511</v>
      </c>
      <c r="H73" s="159">
        <v>69081</v>
      </c>
      <c r="I73" s="159" t="s">
        <v>512</v>
      </c>
      <c r="J73" s="159" t="s">
        <v>513</v>
      </c>
      <c r="K73" s="159" t="s">
        <v>514</v>
      </c>
      <c r="L73" s="159" t="s">
        <v>515</v>
      </c>
      <c r="M73" s="159" t="s">
        <v>268</v>
      </c>
      <c r="N73" s="159" t="s">
        <v>268</v>
      </c>
      <c r="O73" s="159"/>
      <c r="P73" s="159"/>
      <c r="Q73" s="159" t="s">
        <v>511</v>
      </c>
      <c r="R73" s="159">
        <v>69002</v>
      </c>
      <c r="S73" s="159" t="s">
        <v>518</v>
      </c>
      <c r="T73" s="160" t="s">
        <v>267</v>
      </c>
      <c r="U73" s="159" t="s">
        <v>565</v>
      </c>
      <c r="V73" s="159" t="s">
        <v>549</v>
      </c>
      <c r="W73" s="161">
        <v>40</v>
      </c>
      <c r="X73" s="159"/>
      <c r="Y73" s="159"/>
      <c r="Z73" s="159"/>
      <c r="AA73" s="159" t="s">
        <v>237</v>
      </c>
      <c r="AB73" s="159" t="s">
        <v>566</v>
      </c>
      <c r="AC73" s="159" t="s">
        <v>511</v>
      </c>
      <c r="AD73" s="159">
        <v>69081</v>
      </c>
      <c r="AE73" s="162">
        <v>32.982624999999999</v>
      </c>
      <c r="AF73" s="162">
        <v>0</v>
      </c>
      <c r="AG73" s="162">
        <f t="shared" si="1"/>
        <v>32.982624999999999</v>
      </c>
    </row>
    <row r="74" spans="1:33" x14ac:dyDescent="0.3">
      <c r="A74" s="159" t="s">
        <v>507</v>
      </c>
      <c r="B74" s="160" t="s">
        <v>508</v>
      </c>
      <c r="C74" s="160" t="s">
        <v>509</v>
      </c>
      <c r="D74" s="159" t="s">
        <v>510</v>
      </c>
      <c r="E74" s="159">
        <v>42</v>
      </c>
      <c r="F74" s="159">
        <v>3</v>
      </c>
      <c r="G74" s="159" t="s">
        <v>511</v>
      </c>
      <c r="H74" s="159">
        <v>69081</v>
      </c>
      <c r="I74" s="159" t="s">
        <v>512</v>
      </c>
      <c r="J74" s="159" t="s">
        <v>513</v>
      </c>
      <c r="K74" s="159" t="s">
        <v>514</v>
      </c>
      <c r="L74" s="159" t="s">
        <v>515</v>
      </c>
      <c r="M74" s="159" t="s">
        <v>330</v>
      </c>
      <c r="N74" s="159" t="s">
        <v>330</v>
      </c>
      <c r="O74" s="159"/>
      <c r="P74" s="159"/>
      <c r="Q74" s="159" t="s">
        <v>511</v>
      </c>
      <c r="R74" s="159">
        <v>69002</v>
      </c>
      <c r="S74" s="159" t="s">
        <v>518</v>
      </c>
      <c r="T74" s="160" t="s">
        <v>329</v>
      </c>
      <c r="U74" s="159" t="s">
        <v>565</v>
      </c>
      <c r="V74" s="159" t="s">
        <v>549</v>
      </c>
      <c r="W74" s="161">
        <v>25</v>
      </c>
      <c r="X74" s="159"/>
      <c r="Y74" s="159"/>
      <c r="Z74" s="159"/>
      <c r="AA74" s="159" t="s">
        <v>237</v>
      </c>
      <c r="AB74" s="159" t="s">
        <v>566</v>
      </c>
      <c r="AC74" s="159" t="s">
        <v>511</v>
      </c>
      <c r="AD74" s="159">
        <v>69081</v>
      </c>
      <c r="AE74" s="162">
        <v>18.684974</v>
      </c>
      <c r="AF74" s="162">
        <v>0</v>
      </c>
      <c r="AG74" s="162">
        <f t="shared" si="1"/>
        <v>18.684974</v>
      </c>
    </row>
    <row r="75" spans="1:33" x14ac:dyDescent="0.3">
      <c r="A75" s="159" t="s">
        <v>507</v>
      </c>
      <c r="B75" s="160" t="s">
        <v>508</v>
      </c>
      <c r="C75" s="160" t="s">
        <v>509</v>
      </c>
      <c r="D75" s="159" t="s">
        <v>510</v>
      </c>
      <c r="E75" s="159">
        <v>42</v>
      </c>
      <c r="F75" s="159">
        <v>3</v>
      </c>
      <c r="G75" s="159" t="s">
        <v>511</v>
      </c>
      <c r="H75" s="159">
        <v>69081</v>
      </c>
      <c r="I75" s="159" t="s">
        <v>512</v>
      </c>
      <c r="J75" s="159" t="s">
        <v>513</v>
      </c>
      <c r="K75" s="159" t="s">
        <v>514</v>
      </c>
      <c r="L75" s="159" t="s">
        <v>515</v>
      </c>
      <c r="M75" s="159" t="s">
        <v>340</v>
      </c>
      <c r="N75" s="159" t="s">
        <v>340</v>
      </c>
      <c r="O75" s="159"/>
      <c r="P75" s="159"/>
      <c r="Q75" s="159" t="s">
        <v>511</v>
      </c>
      <c r="R75" s="159">
        <v>69002</v>
      </c>
      <c r="S75" s="159" t="s">
        <v>518</v>
      </c>
      <c r="T75" s="160" t="s">
        <v>339</v>
      </c>
      <c r="U75" s="159" t="s">
        <v>565</v>
      </c>
      <c r="V75" s="159" t="s">
        <v>549</v>
      </c>
      <c r="W75" s="161">
        <v>25</v>
      </c>
      <c r="X75" s="159"/>
      <c r="Y75" s="159"/>
      <c r="Z75" s="159"/>
      <c r="AA75" s="159" t="s">
        <v>237</v>
      </c>
      <c r="AB75" s="159" t="s">
        <v>566</v>
      </c>
      <c r="AC75" s="159" t="s">
        <v>511</v>
      </c>
      <c r="AD75" s="159">
        <v>69081</v>
      </c>
      <c r="AE75" s="162">
        <v>12.554436000000001</v>
      </c>
      <c r="AF75" s="162">
        <v>0</v>
      </c>
      <c r="AG75" s="162">
        <f t="shared" si="1"/>
        <v>12.554436000000001</v>
      </c>
    </row>
    <row r="76" spans="1:33" x14ac:dyDescent="0.3">
      <c r="A76" s="159" t="s">
        <v>507</v>
      </c>
      <c r="B76" s="160" t="s">
        <v>508</v>
      </c>
      <c r="C76" s="160" t="s">
        <v>509</v>
      </c>
      <c r="D76" s="159" t="s">
        <v>510</v>
      </c>
      <c r="E76" s="159">
        <v>42</v>
      </c>
      <c r="F76" s="159">
        <v>3</v>
      </c>
      <c r="G76" s="159" t="s">
        <v>511</v>
      </c>
      <c r="H76" s="159">
        <v>69081</v>
      </c>
      <c r="I76" s="159" t="s">
        <v>512</v>
      </c>
      <c r="J76" s="159" t="s">
        <v>513</v>
      </c>
      <c r="K76" s="159" t="s">
        <v>514</v>
      </c>
      <c r="L76" s="159" t="s">
        <v>515</v>
      </c>
      <c r="M76" s="159" t="s">
        <v>252</v>
      </c>
      <c r="N76" s="159" t="s">
        <v>252</v>
      </c>
      <c r="O76" s="159"/>
      <c r="P76" s="159"/>
      <c r="Q76" s="159" t="s">
        <v>511</v>
      </c>
      <c r="R76" s="159">
        <v>69002</v>
      </c>
      <c r="S76" s="159" t="s">
        <v>518</v>
      </c>
      <c r="T76" s="160" t="s">
        <v>251</v>
      </c>
      <c r="U76" s="159" t="s">
        <v>565</v>
      </c>
      <c r="V76" s="159" t="s">
        <v>549</v>
      </c>
      <c r="W76" s="161">
        <v>50</v>
      </c>
      <c r="X76" s="159"/>
      <c r="Y76" s="159"/>
      <c r="Z76" s="159"/>
      <c r="AA76" s="159" t="s">
        <v>237</v>
      </c>
      <c r="AB76" s="159" t="s">
        <v>566</v>
      </c>
      <c r="AC76" s="159" t="s">
        <v>511</v>
      </c>
      <c r="AD76" s="159">
        <v>69081</v>
      </c>
      <c r="AE76" s="162">
        <v>42.515816000000001</v>
      </c>
      <c r="AF76" s="162">
        <v>0</v>
      </c>
      <c r="AG76" s="162">
        <f t="shared" si="1"/>
        <v>42.515816000000001</v>
      </c>
    </row>
    <row r="77" spans="1:33" x14ac:dyDescent="0.3">
      <c r="A77" s="159" t="s">
        <v>507</v>
      </c>
      <c r="B77" s="160" t="s">
        <v>508</v>
      </c>
      <c r="C77" s="160" t="s">
        <v>509</v>
      </c>
      <c r="D77" s="159" t="s">
        <v>510</v>
      </c>
      <c r="E77" s="159">
        <v>42</v>
      </c>
      <c r="F77" s="159">
        <v>3</v>
      </c>
      <c r="G77" s="159" t="s">
        <v>511</v>
      </c>
      <c r="H77" s="159">
        <v>69081</v>
      </c>
      <c r="I77" s="159" t="s">
        <v>512</v>
      </c>
      <c r="J77" s="159" t="s">
        <v>513</v>
      </c>
      <c r="K77" s="159" t="s">
        <v>514</v>
      </c>
      <c r="L77" s="159" t="s">
        <v>515</v>
      </c>
      <c r="M77" s="159" t="s">
        <v>342</v>
      </c>
      <c r="N77" s="159" t="s">
        <v>342</v>
      </c>
      <c r="O77" s="159"/>
      <c r="P77" s="159"/>
      <c r="Q77" s="159" t="s">
        <v>511</v>
      </c>
      <c r="R77" s="159">
        <v>69002</v>
      </c>
      <c r="S77" s="159" t="s">
        <v>518</v>
      </c>
      <c r="T77" s="160" t="s">
        <v>341</v>
      </c>
      <c r="U77" s="159" t="s">
        <v>565</v>
      </c>
      <c r="V77" s="159" t="s">
        <v>549</v>
      </c>
      <c r="W77" s="161">
        <v>25</v>
      </c>
      <c r="X77" s="159"/>
      <c r="Y77" s="159"/>
      <c r="Z77" s="159"/>
      <c r="AA77" s="159" t="s">
        <v>237</v>
      </c>
      <c r="AB77" s="159" t="s">
        <v>566</v>
      </c>
      <c r="AC77" s="159" t="s">
        <v>511</v>
      </c>
      <c r="AD77" s="159">
        <v>69081</v>
      </c>
      <c r="AE77" s="162">
        <v>12.507841000000001</v>
      </c>
      <c r="AF77" s="162">
        <v>0</v>
      </c>
      <c r="AG77" s="162">
        <f t="shared" si="1"/>
        <v>12.507841000000001</v>
      </c>
    </row>
    <row r="78" spans="1:33" x14ac:dyDescent="0.3">
      <c r="A78" s="159" t="s">
        <v>507</v>
      </c>
      <c r="B78" s="160" t="s">
        <v>508</v>
      </c>
      <c r="C78" s="160" t="s">
        <v>509</v>
      </c>
      <c r="D78" s="159" t="s">
        <v>510</v>
      </c>
      <c r="E78" s="159">
        <v>42</v>
      </c>
      <c r="F78" s="159">
        <v>3</v>
      </c>
      <c r="G78" s="159" t="s">
        <v>511</v>
      </c>
      <c r="H78" s="159">
        <v>69081</v>
      </c>
      <c r="I78" s="159" t="s">
        <v>512</v>
      </c>
      <c r="J78" s="159" t="s">
        <v>513</v>
      </c>
      <c r="K78" s="159" t="s">
        <v>514</v>
      </c>
      <c r="L78" s="159" t="s">
        <v>515</v>
      </c>
      <c r="M78" s="159" t="s">
        <v>262</v>
      </c>
      <c r="N78" s="159" t="s">
        <v>262</v>
      </c>
      <c r="O78" s="159"/>
      <c r="P78" s="159"/>
      <c r="Q78" s="159" t="s">
        <v>511</v>
      </c>
      <c r="R78" s="159">
        <v>69002</v>
      </c>
      <c r="S78" s="159" t="s">
        <v>518</v>
      </c>
      <c r="T78" s="160" t="s">
        <v>261</v>
      </c>
      <c r="U78" s="159" t="s">
        <v>565</v>
      </c>
      <c r="V78" s="159" t="s">
        <v>549</v>
      </c>
      <c r="W78" s="161">
        <v>40</v>
      </c>
      <c r="X78" s="159"/>
      <c r="Y78" s="159"/>
      <c r="Z78" s="159"/>
      <c r="AA78" s="159" t="s">
        <v>237</v>
      </c>
      <c r="AB78" s="159" t="s">
        <v>566</v>
      </c>
      <c r="AC78" s="159" t="s">
        <v>511</v>
      </c>
      <c r="AD78" s="159">
        <v>69081</v>
      </c>
      <c r="AE78" s="162">
        <v>35.351768</v>
      </c>
      <c r="AF78" s="162">
        <v>0</v>
      </c>
      <c r="AG78" s="162">
        <f t="shared" si="1"/>
        <v>35.351768</v>
      </c>
    </row>
    <row r="79" spans="1:33" x14ac:dyDescent="0.3">
      <c r="A79" s="159" t="s">
        <v>507</v>
      </c>
      <c r="B79" s="160" t="s">
        <v>508</v>
      </c>
      <c r="C79" s="160" t="s">
        <v>509</v>
      </c>
      <c r="D79" s="159" t="s">
        <v>510</v>
      </c>
      <c r="E79" s="159">
        <v>42</v>
      </c>
      <c r="F79" s="159">
        <v>3</v>
      </c>
      <c r="G79" s="159" t="s">
        <v>511</v>
      </c>
      <c r="H79" s="159">
        <v>69081</v>
      </c>
      <c r="I79" s="159" t="s">
        <v>512</v>
      </c>
      <c r="J79" s="159" t="s">
        <v>513</v>
      </c>
      <c r="K79" s="159" t="s">
        <v>514</v>
      </c>
      <c r="L79" s="159" t="s">
        <v>515</v>
      </c>
      <c r="M79" s="159" t="s">
        <v>310</v>
      </c>
      <c r="N79" s="159" t="s">
        <v>310</v>
      </c>
      <c r="O79" s="159"/>
      <c r="P79" s="159"/>
      <c r="Q79" s="159" t="s">
        <v>511</v>
      </c>
      <c r="R79" s="159">
        <v>69002</v>
      </c>
      <c r="S79" s="159" t="s">
        <v>518</v>
      </c>
      <c r="T79" s="160" t="s">
        <v>309</v>
      </c>
      <c r="U79" s="159" t="s">
        <v>565</v>
      </c>
      <c r="V79" s="159" t="s">
        <v>549</v>
      </c>
      <c r="W79" s="161">
        <v>32</v>
      </c>
      <c r="X79" s="159"/>
      <c r="Y79" s="159"/>
      <c r="Z79" s="159"/>
      <c r="AA79" s="159" t="s">
        <v>237</v>
      </c>
      <c r="AB79" s="159" t="s">
        <v>566</v>
      </c>
      <c r="AC79" s="159" t="s">
        <v>511</v>
      </c>
      <c r="AD79" s="159">
        <v>69081</v>
      </c>
      <c r="AE79" s="162">
        <v>24.65099</v>
      </c>
      <c r="AF79" s="162">
        <v>0</v>
      </c>
      <c r="AG79" s="162">
        <f t="shared" si="1"/>
        <v>24.65099</v>
      </c>
    </row>
    <row r="80" spans="1:33" x14ac:dyDescent="0.3">
      <c r="A80" s="159" t="s">
        <v>507</v>
      </c>
      <c r="B80" s="160" t="s">
        <v>508</v>
      </c>
      <c r="C80" s="160" t="s">
        <v>509</v>
      </c>
      <c r="D80" s="159" t="s">
        <v>510</v>
      </c>
      <c r="E80" s="159">
        <v>42</v>
      </c>
      <c r="F80" s="159">
        <v>3</v>
      </c>
      <c r="G80" s="159" t="s">
        <v>511</v>
      </c>
      <c r="H80" s="159">
        <v>69081</v>
      </c>
      <c r="I80" s="159" t="s">
        <v>512</v>
      </c>
      <c r="J80" s="159" t="s">
        <v>513</v>
      </c>
      <c r="K80" s="159" t="s">
        <v>514</v>
      </c>
      <c r="L80" s="159" t="s">
        <v>515</v>
      </c>
      <c r="M80" s="159" t="s">
        <v>324</v>
      </c>
      <c r="N80" s="159" t="s">
        <v>324</v>
      </c>
      <c r="O80" s="159"/>
      <c r="P80" s="159"/>
      <c r="Q80" s="159" t="s">
        <v>511</v>
      </c>
      <c r="R80" s="159">
        <v>69002</v>
      </c>
      <c r="S80" s="159" t="s">
        <v>518</v>
      </c>
      <c r="T80" s="160" t="s">
        <v>323</v>
      </c>
      <c r="U80" s="159" t="s">
        <v>565</v>
      </c>
      <c r="V80" s="159" t="s">
        <v>549</v>
      </c>
      <c r="W80" s="161">
        <v>20</v>
      </c>
      <c r="X80" s="159"/>
      <c r="Y80" s="159"/>
      <c r="Z80" s="159"/>
      <c r="AA80" s="159" t="s">
        <v>237</v>
      </c>
      <c r="AB80" s="159" t="s">
        <v>566</v>
      </c>
      <c r="AC80" s="159" t="s">
        <v>511</v>
      </c>
      <c r="AD80" s="159">
        <v>69081</v>
      </c>
      <c r="AE80" s="162">
        <v>21.032912</v>
      </c>
      <c r="AF80" s="162">
        <v>0</v>
      </c>
      <c r="AG80" s="162">
        <f t="shared" si="1"/>
        <v>21.032912</v>
      </c>
    </row>
    <row r="81" spans="1:33" x14ac:dyDescent="0.3">
      <c r="A81" s="159" t="s">
        <v>507</v>
      </c>
      <c r="B81" s="160" t="s">
        <v>508</v>
      </c>
      <c r="C81" s="160" t="s">
        <v>509</v>
      </c>
      <c r="D81" s="159" t="s">
        <v>510</v>
      </c>
      <c r="E81" s="159">
        <v>42</v>
      </c>
      <c r="F81" s="159">
        <v>3</v>
      </c>
      <c r="G81" s="159" t="s">
        <v>511</v>
      </c>
      <c r="H81" s="159">
        <v>69081</v>
      </c>
      <c r="I81" s="159" t="s">
        <v>512</v>
      </c>
      <c r="J81" s="159" t="s">
        <v>513</v>
      </c>
      <c r="K81" s="159" t="s">
        <v>514</v>
      </c>
      <c r="L81" s="159" t="s">
        <v>515</v>
      </c>
      <c r="M81" s="159" t="s">
        <v>276</v>
      </c>
      <c r="N81" s="159" t="s">
        <v>276</v>
      </c>
      <c r="O81" s="159"/>
      <c r="P81" s="159"/>
      <c r="Q81" s="159" t="s">
        <v>511</v>
      </c>
      <c r="R81" s="159">
        <v>69002</v>
      </c>
      <c r="S81" s="159" t="s">
        <v>518</v>
      </c>
      <c r="T81" s="160" t="s">
        <v>275</v>
      </c>
      <c r="U81" s="159" t="s">
        <v>565</v>
      </c>
      <c r="V81" s="159" t="s">
        <v>549</v>
      </c>
      <c r="W81" s="161">
        <v>16</v>
      </c>
      <c r="X81" s="159"/>
      <c r="Y81" s="159"/>
      <c r="Z81" s="159"/>
      <c r="AA81" s="159" t="s">
        <v>237</v>
      </c>
      <c r="AB81" s="159" t="s">
        <v>566</v>
      </c>
      <c r="AC81" s="159" t="s">
        <v>511</v>
      </c>
      <c r="AD81" s="159">
        <v>69081</v>
      </c>
      <c r="AE81" s="162">
        <v>31.877482000000001</v>
      </c>
      <c r="AF81" s="162">
        <v>0</v>
      </c>
      <c r="AG81" s="162">
        <f t="shared" si="1"/>
        <v>31.877482000000001</v>
      </c>
    </row>
    <row r="82" spans="1:33" x14ac:dyDescent="0.3">
      <c r="A82" s="159" t="s">
        <v>507</v>
      </c>
      <c r="B82" s="160" t="s">
        <v>508</v>
      </c>
      <c r="C82" s="160" t="s">
        <v>509</v>
      </c>
      <c r="D82" s="159" t="s">
        <v>510</v>
      </c>
      <c r="E82" s="159">
        <v>42</v>
      </c>
      <c r="F82" s="159">
        <v>3</v>
      </c>
      <c r="G82" s="159" t="s">
        <v>511</v>
      </c>
      <c r="H82" s="159">
        <v>69081</v>
      </c>
      <c r="I82" s="159" t="s">
        <v>512</v>
      </c>
      <c r="J82" s="159" t="s">
        <v>513</v>
      </c>
      <c r="K82" s="159" t="s">
        <v>514</v>
      </c>
      <c r="L82" s="159" t="s">
        <v>515</v>
      </c>
      <c r="M82" s="159" t="s">
        <v>344</v>
      </c>
      <c r="N82" s="159" t="s">
        <v>344</v>
      </c>
      <c r="O82" s="159"/>
      <c r="P82" s="159"/>
      <c r="Q82" s="159" t="s">
        <v>511</v>
      </c>
      <c r="R82" s="159">
        <v>69002</v>
      </c>
      <c r="S82" s="159" t="s">
        <v>518</v>
      </c>
      <c r="T82" s="160" t="s">
        <v>343</v>
      </c>
      <c r="U82" s="159" t="s">
        <v>565</v>
      </c>
      <c r="V82" s="159" t="s">
        <v>549</v>
      </c>
      <c r="W82" s="161">
        <v>25</v>
      </c>
      <c r="X82" s="159"/>
      <c r="Y82" s="159"/>
      <c r="Z82" s="159"/>
      <c r="AA82" s="159" t="s">
        <v>237</v>
      </c>
      <c r="AB82" s="159" t="s">
        <v>566</v>
      </c>
      <c r="AC82" s="159" t="s">
        <v>511</v>
      </c>
      <c r="AD82" s="159">
        <v>69081</v>
      </c>
      <c r="AE82" s="162">
        <v>12.378773000000001</v>
      </c>
      <c r="AF82" s="162">
        <v>0</v>
      </c>
      <c r="AG82" s="162">
        <f t="shared" si="1"/>
        <v>12.378773000000001</v>
      </c>
    </row>
    <row r="83" spans="1:33" x14ac:dyDescent="0.3">
      <c r="A83" s="159" t="s">
        <v>507</v>
      </c>
      <c r="B83" s="160" t="s">
        <v>508</v>
      </c>
      <c r="C83" s="160" t="s">
        <v>509</v>
      </c>
      <c r="D83" s="159" t="s">
        <v>510</v>
      </c>
      <c r="E83" s="159">
        <v>42</v>
      </c>
      <c r="F83" s="159">
        <v>3</v>
      </c>
      <c r="G83" s="159" t="s">
        <v>511</v>
      </c>
      <c r="H83" s="159">
        <v>69081</v>
      </c>
      <c r="I83" s="159" t="s">
        <v>512</v>
      </c>
      <c r="J83" s="159" t="s">
        <v>513</v>
      </c>
      <c r="K83" s="159" t="s">
        <v>514</v>
      </c>
      <c r="L83" s="159" t="s">
        <v>515</v>
      </c>
      <c r="M83" s="159" t="s">
        <v>376</v>
      </c>
      <c r="N83" s="159" t="s">
        <v>583</v>
      </c>
      <c r="O83" s="159"/>
      <c r="P83" s="159"/>
      <c r="Q83" s="159" t="s">
        <v>511</v>
      </c>
      <c r="R83" s="159">
        <v>69002</v>
      </c>
      <c r="S83" s="159" t="s">
        <v>518</v>
      </c>
      <c r="T83" s="160" t="s">
        <v>375</v>
      </c>
      <c r="U83" s="159" t="s">
        <v>565</v>
      </c>
      <c r="V83" s="159" t="s">
        <v>549</v>
      </c>
      <c r="W83" s="161">
        <v>2</v>
      </c>
      <c r="X83" s="159"/>
      <c r="Y83" s="159"/>
      <c r="Z83" s="159"/>
      <c r="AA83" s="159" t="s">
        <v>237</v>
      </c>
      <c r="AB83" s="159" t="s">
        <v>566</v>
      </c>
      <c r="AC83" s="159" t="s">
        <v>511</v>
      </c>
      <c r="AD83" s="159">
        <v>69081</v>
      </c>
      <c r="AE83" s="162">
        <v>0</v>
      </c>
      <c r="AF83" s="162">
        <v>0</v>
      </c>
      <c r="AG83" s="162">
        <f t="shared" si="1"/>
        <v>0</v>
      </c>
    </row>
    <row r="84" spans="1:33" x14ac:dyDescent="0.3">
      <c r="A84" s="159" t="s">
        <v>507</v>
      </c>
      <c r="B84" s="160" t="s">
        <v>508</v>
      </c>
      <c r="C84" s="160" t="s">
        <v>509</v>
      </c>
      <c r="D84" s="159" t="s">
        <v>510</v>
      </c>
      <c r="E84" s="159">
        <v>42</v>
      </c>
      <c r="F84" s="159">
        <v>3</v>
      </c>
      <c r="G84" s="159" t="s">
        <v>511</v>
      </c>
      <c r="H84" s="159">
        <v>69081</v>
      </c>
      <c r="I84" s="159" t="s">
        <v>512</v>
      </c>
      <c r="J84" s="159" t="s">
        <v>513</v>
      </c>
      <c r="K84" s="159" t="s">
        <v>514</v>
      </c>
      <c r="L84" s="159" t="s">
        <v>515</v>
      </c>
      <c r="M84" s="159" t="s">
        <v>378</v>
      </c>
      <c r="N84" s="159" t="s">
        <v>584</v>
      </c>
      <c r="O84" s="159"/>
      <c r="P84" s="159"/>
      <c r="Q84" s="159" t="s">
        <v>511</v>
      </c>
      <c r="R84" s="159">
        <v>69002</v>
      </c>
      <c r="S84" s="159" t="s">
        <v>518</v>
      </c>
      <c r="T84" s="160" t="s">
        <v>377</v>
      </c>
      <c r="U84" s="159" t="s">
        <v>565</v>
      </c>
      <c r="V84" s="159" t="s">
        <v>549</v>
      </c>
      <c r="W84" s="161">
        <v>2</v>
      </c>
      <c r="X84" s="159"/>
      <c r="Y84" s="159"/>
      <c r="Z84" s="159"/>
      <c r="AA84" s="159" t="s">
        <v>237</v>
      </c>
      <c r="AB84" s="159" t="s">
        <v>566</v>
      </c>
      <c r="AC84" s="159" t="s">
        <v>511</v>
      </c>
      <c r="AD84" s="159">
        <v>69081</v>
      </c>
      <c r="AE84" s="162">
        <v>0</v>
      </c>
      <c r="AF84" s="162">
        <v>0</v>
      </c>
      <c r="AG84" s="162">
        <f t="shared" si="1"/>
        <v>0</v>
      </c>
    </row>
    <row r="85" spans="1:33" x14ac:dyDescent="0.3">
      <c r="A85" s="159" t="s">
        <v>507</v>
      </c>
      <c r="B85" s="160" t="s">
        <v>508</v>
      </c>
      <c r="C85" s="160" t="s">
        <v>509</v>
      </c>
      <c r="D85" s="159" t="s">
        <v>510</v>
      </c>
      <c r="E85" s="159">
        <v>42</v>
      </c>
      <c r="F85" s="159">
        <v>3</v>
      </c>
      <c r="G85" s="159" t="s">
        <v>511</v>
      </c>
      <c r="H85" s="159">
        <v>69081</v>
      </c>
      <c r="I85" s="159" t="s">
        <v>512</v>
      </c>
      <c r="J85" s="159" t="s">
        <v>513</v>
      </c>
      <c r="K85" s="159" t="s">
        <v>514</v>
      </c>
      <c r="L85" s="159" t="s">
        <v>515</v>
      </c>
      <c r="M85" s="159" t="s">
        <v>380</v>
      </c>
      <c r="N85" s="159" t="s">
        <v>585</v>
      </c>
      <c r="O85" s="159"/>
      <c r="P85" s="159"/>
      <c r="Q85" s="159" t="s">
        <v>511</v>
      </c>
      <c r="R85" s="159">
        <v>69002</v>
      </c>
      <c r="S85" s="159" t="s">
        <v>518</v>
      </c>
      <c r="T85" s="160" t="s">
        <v>379</v>
      </c>
      <c r="U85" s="159" t="s">
        <v>565</v>
      </c>
      <c r="V85" s="159" t="s">
        <v>549</v>
      </c>
      <c r="W85" s="161">
        <v>2</v>
      </c>
      <c r="X85" s="159"/>
      <c r="Y85" s="159"/>
      <c r="Z85" s="159"/>
      <c r="AA85" s="159" t="s">
        <v>237</v>
      </c>
      <c r="AB85" s="159" t="s">
        <v>566</v>
      </c>
      <c r="AC85" s="159" t="s">
        <v>511</v>
      </c>
      <c r="AD85" s="159">
        <v>69081</v>
      </c>
      <c r="AE85" s="162">
        <v>0</v>
      </c>
      <c r="AF85" s="162">
        <v>0</v>
      </c>
      <c r="AG85" s="162">
        <f t="shared" si="1"/>
        <v>0</v>
      </c>
    </row>
    <row r="86" spans="1:33" x14ac:dyDescent="0.3">
      <c r="A86" s="159" t="s">
        <v>507</v>
      </c>
      <c r="B86" s="160" t="s">
        <v>508</v>
      </c>
      <c r="C86" s="160" t="s">
        <v>509</v>
      </c>
      <c r="D86" s="159" t="s">
        <v>510</v>
      </c>
      <c r="E86" s="159">
        <v>42</v>
      </c>
      <c r="F86" s="159">
        <v>3</v>
      </c>
      <c r="G86" s="159" t="s">
        <v>511</v>
      </c>
      <c r="H86" s="159">
        <v>69081</v>
      </c>
      <c r="I86" s="159" t="s">
        <v>512</v>
      </c>
      <c r="J86" s="159" t="s">
        <v>513</v>
      </c>
      <c r="K86" s="159" t="s">
        <v>514</v>
      </c>
      <c r="L86" s="159" t="s">
        <v>515</v>
      </c>
      <c r="M86" s="159" t="s">
        <v>382</v>
      </c>
      <c r="N86" s="159" t="s">
        <v>586</v>
      </c>
      <c r="O86" s="159"/>
      <c r="P86" s="159"/>
      <c r="Q86" s="159" t="s">
        <v>511</v>
      </c>
      <c r="R86" s="159">
        <v>69002</v>
      </c>
      <c r="S86" s="159" t="s">
        <v>518</v>
      </c>
      <c r="T86" s="160" t="s">
        <v>381</v>
      </c>
      <c r="U86" s="159" t="s">
        <v>565</v>
      </c>
      <c r="V86" s="159" t="s">
        <v>549</v>
      </c>
      <c r="W86" s="161">
        <v>2</v>
      </c>
      <c r="X86" s="159"/>
      <c r="Y86" s="159"/>
      <c r="Z86" s="159"/>
      <c r="AA86" s="159" t="s">
        <v>237</v>
      </c>
      <c r="AB86" s="159" t="s">
        <v>566</v>
      </c>
      <c r="AC86" s="159" t="s">
        <v>511</v>
      </c>
      <c r="AD86" s="159">
        <v>69081</v>
      </c>
      <c r="AE86" s="162">
        <v>0</v>
      </c>
      <c r="AF86" s="162">
        <v>0</v>
      </c>
      <c r="AG86" s="162">
        <f t="shared" si="1"/>
        <v>0</v>
      </c>
    </row>
    <row r="87" spans="1:33" x14ac:dyDescent="0.3">
      <c r="A87" s="159" t="s">
        <v>507</v>
      </c>
      <c r="B87" s="160" t="s">
        <v>508</v>
      </c>
      <c r="C87" s="160" t="s">
        <v>509</v>
      </c>
      <c r="D87" s="159" t="s">
        <v>510</v>
      </c>
      <c r="E87" s="159">
        <v>42</v>
      </c>
      <c r="F87" s="159">
        <v>3</v>
      </c>
      <c r="G87" s="159" t="s">
        <v>511</v>
      </c>
      <c r="H87" s="159">
        <v>69081</v>
      </c>
      <c r="I87" s="159" t="s">
        <v>512</v>
      </c>
      <c r="J87" s="159" t="s">
        <v>513</v>
      </c>
      <c r="K87" s="159" t="s">
        <v>514</v>
      </c>
      <c r="L87" s="159" t="s">
        <v>515</v>
      </c>
      <c r="M87" s="159" t="s">
        <v>384</v>
      </c>
      <c r="N87" s="159" t="s">
        <v>587</v>
      </c>
      <c r="O87" s="159"/>
      <c r="P87" s="159"/>
      <c r="Q87" s="159" t="s">
        <v>511</v>
      </c>
      <c r="R87" s="159">
        <v>69002</v>
      </c>
      <c r="S87" s="159" t="s">
        <v>518</v>
      </c>
      <c r="T87" s="160" t="s">
        <v>383</v>
      </c>
      <c r="U87" s="159" t="s">
        <v>565</v>
      </c>
      <c r="V87" s="159" t="s">
        <v>549</v>
      </c>
      <c r="W87" s="161">
        <v>2</v>
      </c>
      <c r="X87" s="159"/>
      <c r="Y87" s="159"/>
      <c r="Z87" s="159"/>
      <c r="AA87" s="159" t="s">
        <v>237</v>
      </c>
      <c r="AB87" s="159" t="s">
        <v>566</v>
      </c>
      <c r="AC87" s="159" t="s">
        <v>511</v>
      </c>
      <c r="AD87" s="159">
        <v>69081</v>
      </c>
      <c r="AE87" s="162">
        <v>0</v>
      </c>
      <c r="AF87" s="162">
        <v>0</v>
      </c>
      <c r="AG87" s="162">
        <f t="shared" si="1"/>
        <v>0</v>
      </c>
    </row>
    <row r="88" spans="1:33" x14ac:dyDescent="0.3">
      <c r="A88" s="159" t="s">
        <v>507</v>
      </c>
      <c r="B88" s="160" t="s">
        <v>508</v>
      </c>
      <c r="C88" s="160" t="s">
        <v>509</v>
      </c>
      <c r="D88" s="159" t="s">
        <v>510</v>
      </c>
      <c r="E88" s="159">
        <v>42</v>
      </c>
      <c r="F88" s="159">
        <v>3</v>
      </c>
      <c r="G88" s="159" t="s">
        <v>511</v>
      </c>
      <c r="H88" s="159">
        <v>69081</v>
      </c>
      <c r="I88" s="159" t="s">
        <v>512</v>
      </c>
      <c r="J88" s="159" t="s">
        <v>513</v>
      </c>
      <c r="K88" s="159" t="s">
        <v>514</v>
      </c>
      <c r="L88" s="159" t="s">
        <v>515</v>
      </c>
      <c r="M88" s="159" t="s">
        <v>386</v>
      </c>
      <c r="N88" s="159" t="s">
        <v>588</v>
      </c>
      <c r="O88" s="159"/>
      <c r="P88" s="159"/>
      <c r="Q88" s="159" t="s">
        <v>511</v>
      </c>
      <c r="R88" s="159">
        <v>69002</v>
      </c>
      <c r="S88" s="159" t="s">
        <v>518</v>
      </c>
      <c r="T88" s="160" t="s">
        <v>385</v>
      </c>
      <c r="U88" s="159" t="s">
        <v>565</v>
      </c>
      <c r="V88" s="159" t="s">
        <v>549</v>
      </c>
      <c r="W88" s="161">
        <v>2</v>
      </c>
      <c r="X88" s="159"/>
      <c r="Y88" s="159"/>
      <c r="Z88" s="159"/>
      <c r="AA88" s="159" t="s">
        <v>237</v>
      </c>
      <c r="AB88" s="159" t="s">
        <v>566</v>
      </c>
      <c r="AC88" s="159" t="s">
        <v>511</v>
      </c>
      <c r="AD88" s="159">
        <v>69081</v>
      </c>
      <c r="AE88" s="162">
        <v>0</v>
      </c>
      <c r="AF88" s="162">
        <v>0</v>
      </c>
      <c r="AG88" s="162">
        <f t="shared" si="1"/>
        <v>0</v>
      </c>
    </row>
    <row r="89" spans="1:33" x14ac:dyDescent="0.3">
      <c r="A89" s="159" t="s">
        <v>507</v>
      </c>
      <c r="B89" s="160" t="s">
        <v>508</v>
      </c>
      <c r="C89" s="160" t="s">
        <v>509</v>
      </c>
      <c r="D89" s="159" t="s">
        <v>510</v>
      </c>
      <c r="E89" s="159">
        <v>42</v>
      </c>
      <c r="F89" s="159">
        <v>3</v>
      </c>
      <c r="G89" s="159" t="s">
        <v>511</v>
      </c>
      <c r="H89" s="159">
        <v>69081</v>
      </c>
      <c r="I89" s="159" t="s">
        <v>512</v>
      </c>
      <c r="J89" s="159" t="s">
        <v>513</v>
      </c>
      <c r="K89" s="159" t="s">
        <v>514</v>
      </c>
      <c r="L89" s="159" t="s">
        <v>515</v>
      </c>
      <c r="M89" s="159" t="s">
        <v>240</v>
      </c>
      <c r="N89" s="159" t="s">
        <v>240</v>
      </c>
      <c r="O89" s="159"/>
      <c r="P89" s="159"/>
      <c r="Q89" s="159" t="s">
        <v>511</v>
      </c>
      <c r="R89" s="159">
        <v>69002</v>
      </c>
      <c r="S89" s="159" t="s">
        <v>518</v>
      </c>
      <c r="T89" s="160" t="s">
        <v>239</v>
      </c>
      <c r="U89" s="159" t="s">
        <v>565</v>
      </c>
      <c r="V89" s="159" t="s">
        <v>549</v>
      </c>
      <c r="W89" s="161">
        <v>60</v>
      </c>
      <c r="X89" s="159"/>
      <c r="Y89" s="159"/>
      <c r="Z89" s="159"/>
      <c r="AA89" s="159" t="s">
        <v>237</v>
      </c>
      <c r="AB89" s="159" t="s">
        <v>566</v>
      </c>
      <c r="AC89" s="159" t="s">
        <v>511</v>
      </c>
      <c r="AD89" s="159">
        <v>69081</v>
      </c>
      <c r="AE89" s="162">
        <v>63.271146999999999</v>
      </c>
      <c r="AF89" s="162">
        <v>0</v>
      </c>
      <c r="AG89" s="162">
        <f t="shared" si="1"/>
        <v>63.271146999999999</v>
      </c>
    </row>
    <row r="90" spans="1:33" x14ac:dyDescent="0.3">
      <c r="A90" s="159" t="s">
        <v>507</v>
      </c>
      <c r="B90" s="160" t="s">
        <v>508</v>
      </c>
      <c r="C90" s="160" t="s">
        <v>509</v>
      </c>
      <c r="D90" s="159" t="s">
        <v>510</v>
      </c>
      <c r="E90" s="159">
        <v>42</v>
      </c>
      <c r="F90" s="159">
        <v>3</v>
      </c>
      <c r="G90" s="159" t="s">
        <v>511</v>
      </c>
      <c r="H90" s="159">
        <v>69081</v>
      </c>
      <c r="I90" s="159" t="s">
        <v>512</v>
      </c>
      <c r="J90" s="159" t="s">
        <v>513</v>
      </c>
      <c r="K90" s="159" t="s">
        <v>514</v>
      </c>
      <c r="L90" s="159" t="s">
        <v>515</v>
      </c>
      <c r="M90" s="159" t="s">
        <v>238</v>
      </c>
      <c r="N90" s="159" t="s">
        <v>238</v>
      </c>
      <c r="O90" s="159"/>
      <c r="P90" s="159"/>
      <c r="Q90" s="159" t="s">
        <v>511</v>
      </c>
      <c r="R90" s="159">
        <v>69002</v>
      </c>
      <c r="S90" s="159" t="s">
        <v>518</v>
      </c>
      <c r="T90" s="160" t="s">
        <v>236</v>
      </c>
      <c r="U90" s="159" t="s">
        <v>565</v>
      </c>
      <c r="V90" s="159" t="s">
        <v>549</v>
      </c>
      <c r="W90" s="161">
        <v>63</v>
      </c>
      <c r="X90" s="159"/>
      <c r="Y90" s="159"/>
      <c r="Z90" s="159"/>
      <c r="AA90" s="159" t="s">
        <v>237</v>
      </c>
      <c r="AB90" s="159" t="s">
        <v>566</v>
      </c>
      <c r="AC90" s="159" t="s">
        <v>511</v>
      </c>
      <c r="AD90" s="159">
        <v>69081</v>
      </c>
      <c r="AE90" s="162">
        <v>65.592516000000003</v>
      </c>
      <c r="AF90" s="162">
        <v>0</v>
      </c>
      <c r="AG90" s="162">
        <f t="shared" si="1"/>
        <v>65.592516000000003</v>
      </c>
    </row>
    <row r="91" spans="1:33" x14ac:dyDescent="0.3">
      <c r="A91" s="159" t="s">
        <v>507</v>
      </c>
      <c r="B91" s="160" t="s">
        <v>508</v>
      </c>
      <c r="C91" s="160" t="s">
        <v>509</v>
      </c>
      <c r="D91" s="159" t="s">
        <v>510</v>
      </c>
      <c r="E91" s="159">
        <v>42</v>
      </c>
      <c r="F91" s="159">
        <v>3</v>
      </c>
      <c r="G91" s="159" t="s">
        <v>511</v>
      </c>
      <c r="H91" s="159">
        <v>69081</v>
      </c>
      <c r="I91" s="159" t="s">
        <v>512</v>
      </c>
      <c r="J91" s="159" t="s">
        <v>513</v>
      </c>
      <c r="K91" s="159" t="s">
        <v>514</v>
      </c>
      <c r="L91" s="159" t="s">
        <v>515</v>
      </c>
      <c r="M91" s="159" t="s">
        <v>306</v>
      </c>
      <c r="N91" s="159" t="s">
        <v>306</v>
      </c>
      <c r="O91" s="159"/>
      <c r="P91" s="159"/>
      <c r="Q91" s="159" t="s">
        <v>511</v>
      </c>
      <c r="R91" s="159">
        <v>69002</v>
      </c>
      <c r="S91" s="159" t="s">
        <v>518</v>
      </c>
      <c r="T91" s="160" t="s">
        <v>305</v>
      </c>
      <c r="U91" s="159" t="s">
        <v>565</v>
      </c>
      <c r="V91" s="159" t="s">
        <v>549</v>
      </c>
      <c r="W91" s="161">
        <v>32</v>
      </c>
      <c r="X91" s="159"/>
      <c r="Y91" s="159"/>
      <c r="Z91" s="159"/>
      <c r="AA91" s="159" t="s">
        <v>237</v>
      </c>
      <c r="AB91" s="159" t="s">
        <v>566</v>
      </c>
      <c r="AC91" s="159" t="s">
        <v>511</v>
      </c>
      <c r="AD91" s="159">
        <v>69081</v>
      </c>
      <c r="AE91" s="162">
        <v>25.321103000000001</v>
      </c>
      <c r="AF91" s="162">
        <v>0</v>
      </c>
      <c r="AG91" s="162">
        <f t="shared" si="1"/>
        <v>25.321103000000001</v>
      </c>
    </row>
    <row r="92" spans="1:33" x14ac:dyDescent="0.3">
      <c r="A92" s="159" t="s">
        <v>507</v>
      </c>
      <c r="B92" s="160" t="s">
        <v>508</v>
      </c>
      <c r="C92" s="160" t="s">
        <v>509</v>
      </c>
      <c r="D92" s="159" t="s">
        <v>510</v>
      </c>
      <c r="E92" s="159">
        <v>42</v>
      </c>
      <c r="F92" s="159">
        <v>3</v>
      </c>
      <c r="G92" s="159" t="s">
        <v>511</v>
      </c>
      <c r="H92" s="159">
        <v>69081</v>
      </c>
      <c r="I92" s="159" t="s">
        <v>512</v>
      </c>
      <c r="J92" s="159" t="s">
        <v>513</v>
      </c>
      <c r="K92" s="159" t="s">
        <v>514</v>
      </c>
      <c r="L92" s="159" t="s">
        <v>515</v>
      </c>
      <c r="M92" s="159" t="s">
        <v>292</v>
      </c>
      <c r="N92" s="159" t="s">
        <v>292</v>
      </c>
      <c r="O92" s="159"/>
      <c r="P92" s="159"/>
      <c r="Q92" s="159" t="s">
        <v>511</v>
      </c>
      <c r="R92" s="159">
        <v>69002</v>
      </c>
      <c r="S92" s="159" t="s">
        <v>518</v>
      </c>
      <c r="T92" s="160" t="s">
        <v>291</v>
      </c>
      <c r="U92" s="159" t="s">
        <v>565</v>
      </c>
      <c r="V92" s="159" t="s">
        <v>549</v>
      </c>
      <c r="W92" s="161">
        <v>32</v>
      </c>
      <c r="X92" s="159"/>
      <c r="Y92" s="159"/>
      <c r="Z92" s="159"/>
      <c r="AA92" s="159" t="s">
        <v>237</v>
      </c>
      <c r="AB92" s="159" t="s">
        <v>566</v>
      </c>
      <c r="AC92" s="159" t="s">
        <v>511</v>
      </c>
      <c r="AD92" s="159">
        <v>69081</v>
      </c>
      <c r="AE92" s="162">
        <v>28.136555000000001</v>
      </c>
      <c r="AF92" s="162">
        <v>0</v>
      </c>
      <c r="AG92" s="162">
        <f t="shared" si="1"/>
        <v>28.136555000000001</v>
      </c>
    </row>
    <row r="93" spans="1:33" x14ac:dyDescent="0.3">
      <c r="A93" s="159" t="s">
        <v>507</v>
      </c>
      <c r="B93" s="160" t="s">
        <v>508</v>
      </c>
      <c r="C93" s="160" t="s">
        <v>509</v>
      </c>
      <c r="D93" s="159" t="s">
        <v>510</v>
      </c>
      <c r="E93" s="159">
        <v>42</v>
      </c>
      <c r="F93" s="159">
        <v>3</v>
      </c>
      <c r="G93" s="159" t="s">
        <v>511</v>
      </c>
      <c r="H93" s="159">
        <v>69081</v>
      </c>
      <c r="I93" s="159" t="s">
        <v>512</v>
      </c>
      <c r="J93" s="159" t="s">
        <v>513</v>
      </c>
      <c r="K93" s="159" t="s">
        <v>514</v>
      </c>
      <c r="L93" s="159" t="s">
        <v>515</v>
      </c>
      <c r="M93" s="159" t="s">
        <v>366</v>
      </c>
      <c r="N93" s="159" t="s">
        <v>366</v>
      </c>
      <c r="O93" s="159"/>
      <c r="P93" s="159"/>
      <c r="Q93" s="159" t="s">
        <v>511</v>
      </c>
      <c r="R93" s="159">
        <v>69002</v>
      </c>
      <c r="S93" s="159" t="s">
        <v>518</v>
      </c>
      <c r="T93" s="160" t="s">
        <v>365</v>
      </c>
      <c r="U93" s="159" t="s">
        <v>565</v>
      </c>
      <c r="V93" s="159" t="s">
        <v>549</v>
      </c>
      <c r="W93" s="161">
        <v>16</v>
      </c>
      <c r="X93" s="159"/>
      <c r="Y93" s="159"/>
      <c r="Z93" s="159"/>
      <c r="AA93" s="159" t="s">
        <v>237</v>
      </c>
      <c r="AB93" s="159" t="s">
        <v>566</v>
      </c>
      <c r="AC93" s="159" t="s">
        <v>511</v>
      </c>
      <c r="AD93" s="159">
        <v>69081</v>
      </c>
      <c r="AE93" s="162">
        <v>4</v>
      </c>
      <c r="AF93" s="162">
        <v>0</v>
      </c>
      <c r="AG93" s="162">
        <f t="shared" si="1"/>
        <v>4</v>
      </c>
    </row>
    <row r="94" spans="1:33" x14ac:dyDescent="0.3">
      <c r="A94" s="159" t="s">
        <v>507</v>
      </c>
      <c r="B94" s="160" t="s">
        <v>508</v>
      </c>
      <c r="C94" s="160" t="s">
        <v>509</v>
      </c>
      <c r="D94" s="159" t="s">
        <v>510</v>
      </c>
      <c r="E94" s="159">
        <v>42</v>
      </c>
      <c r="F94" s="159">
        <v>3</v>
      </c>
      <c r="G94" s="159" t="s">
        <v>511</v>
      </c>
      <c r="H94" s="159">
        <v>69081</v>
      </c>
      <c r="I94" s="159" t="s">
        <v>512</v>
      </c>
      <c r="J94" s="159" t="s">
        <v>513</v>
      </c>
      <c r="K94" s="159" t="s">
        <v>514</v>
      </c>
      <c r="L94" s="159" t="s">
        <v>515</v>
      </c>
      <c r="M94" s="159" t="s">
        <v>320</v>
      </c>
      <c r="N94" s="159" t="s">
        <v>589</v>
      </c>
      <c r="O94" s="159"/>
      <c r="P94" s="159"/>
      <c r="Q94" s="159" t="s">
        <v>511</v>
      </c>
      <c r="R94" s="159">
        <v>69002</v>
      </c>
      <c r="S94" s="159" t="s">
        <v>518</v>
      </c>
      <c r="T94" s="160" t="s">
        <v>319</v>
      </c>
      <c r="U94" s="159" t="s">
        <v>548</v>
      </c>
      <c r="V94" s="159" t="s">
        <v>549</v>
      </c>
      <c r="W94" s="161">
        <v>16</v>
      </c>
      <c r="X94" s="159"/>
      <c r="Y94" s="159"/>
      <c r="Z94" s="159"/>
      <c r="AA94" s="159" t="s">
        <v>237</v>
      </c>
      <c r="AB94" s="159" t="s">
        <v>566</v>
      </c>
      <c r="AC94" s="159" t="s">
        <v>511</v>
      </c>
      <c r="AD94" s="159">
        <v>69081</v>
      </c>
      <c r="AE94" s="162">
        <v>22.282532</v>
      </c>
      <c r="AF94" s="162">
        <v>0</v>
      </c>
      <c r="AG94" s="162">
        <f t="shared" si="1"/>
        <v>22.282532</v>
      </c>
    </row>
    <row r="95" spans="1:33" x14ac:dyDescent="0.3">
      <c r="A95" s="159" t="s">
        <v>507</v>
      </c>
      <c r="B95" s="160" t="s">
        <v>508</v>
      </c>
      <c r="C95" s="160" t="s">
        <v>509</v>
      </c>
      <c r="D95" s="159" t="s">
        <v>510</v>
      </c>
      <c r="E95" s="159">
        <v>42</v>
      </c>
      <c r="F95" s="159">
        <v>3</v>
      </c>
      <c r="G95" s="159" t="s">
        <v>511</v>
      </c>
      <c r="H95" s="159">
        <v>69081</v>
      </c>
      <c r="I95" s="159" t="s">
        <v>512</v>
      </c>
      <c r="J95" s="159" t="s">
        <v>513</v>
      </c>
      <c r="K95" s="159" t="s">
        <v>514</v>
      </c>
      <c r="L95" s="159" t="s">
        <v>515</v>
      </c>
      <c r="M95" s="159" t="s">
        <v>364</v>
      </c>
      <c r="N95" s="159" t="s">
        <v>590</v>
      </c>
      <c r="O95" s="159"/>
      <c r="P95" s="159"/>
      <c r="Q95" s="159" t="s">
        <v>511</v>
      </c>
      <c r="R95" s="159">
        <v>69002</v>
      </c>
      <c r="S95" s="159" t="s">
        <v>518</v>
      </c>
      <c r="T95" s="160" t="s">
        <v>363</v>
      </c>
      <c r="U95" s="159" t="s">
        <v>548</v>
      </c>
      <c r="V95" s="159" t="s">
        <v>520</v>
      </c>
      <c r="W95" s="161">
        <v>16</v>
      </c>
      <c r="X95" s="159"/>
      <c r="Y95" s="159"/>
      <c r="Z95" s="159"/>
      <c r="AA95" s="159" t="s">
        <v>237</v>
      </c>
      <c r="AB95" s="159" t="s">
        <v>566</v>
      </c>
      <c r="AC95" s="159" t="s">
        <v>511</v>
      </c>
      <c r="AD95" s="159">
        <v>69081</v>
      </c>
      <c r="AE95" s="162">
        <v>4.4476690000000003</v>
      </c>
      <c r="AF95" s="162">
        <v>0</v>
      </c>
      <c r="AG95" s="162">
        <f t="shared" si="1"/>
        <v>4.4476690000000003</v>
      </c>
    </row>
    <row r="96" spans="1:33" x14ac:dyDescent="0.3">
      <c r="A96" s="159" t="s">
        <v>507</v>
      </c>
      <c r="B96" s="160" t="s">
        <v>508</v>
      </c>
      <c r="C96" s="160" t="s">
        <v>509</v>
      </c>
      <c r="D96" s="159" t="s">
        <v>510</v>
      </c>
      <c r="E96" s="159">
        <v>42</v>
      </c>
      <c r="F96" s="159">
        <v>3</v>
      </c>
      <c r="G96" s="159" t="s">
        <v>511</v>
      </c>
      <c r="H96" s="159">
        <v>69081</v>
      </c>
      <c r="I96" s="159" t="s">
        <v>512</v>
      </c>
      <c r="J96" s="159" t="s">
        <v>513</v>
      </c>
      <c r="K96" s="159" t="s">
        <v>514</v>
      </c>
      <c r="L96" s="159" t="s">
        <v>515</v>
      </c>
      <c r="M96" s="159" t="s">
        <v>370</v>
      </c>
      <c r="N96" s="159" t="s">
        <v>591</v>
      </c>
      <c r="O96" s="159" t="s">
        <v>430</v>
      </c>
      <c r="P96" s="159"/>
      <c r="Q96" s="159" t="s">
        <v>511</v>
      </c>
      <c r="R96" s="159">
        <v>69002</v>
      </c>
      <c r="S96" s="159" t="s">
        <v>518</v>
      </c>
      <c r="T96" s="160" t="s">
        <v>369</v>
      </c>
      <c r="U96" s="159" t="s">
        <v>548</v>
      </c>
      <c r="V96" s="159" t="s">
        <v>549</v>
      </c>
      <c r="W96" s="161">
        <v>16</v>
      </c>
      <c r="X96" s="159"/>
      <c r="Y96" s="159"/>
      <c r="Z96" s="159"/>
      <c r="AA96" s="159" t="s">
        <v>237</v>
      </c>
      <c r="AB96" s="159" t="s">
        <v>566</v>
      </c>
      <c r="AC96" s="159" t="s">
        <v>511</v>
      </c>
      <c r="AD96" s="159">
        <v>69081</v>
      </c>
      <c r="AE96" s="162">
        <v>1.1534880000000001</v>
      </c>
      <c r="AF96" s="162">
        <v>0</v>
      </c>
      <c r="AG96" s="162">
        <f t="shared" si="1"/>
        <v>1.1534880000000001</v>
      </c>
    </row>
    <row r="97" spans="1:33" x14ac:dyDescent="0.3">
      <c r="A97" s="159" t="s">
        <v>507</v>
      </c>
      <c r="B97" s="160" t="s">
        <v>508</v>
      </c>
      <c r="C97" s="160" t="s">
        <v>509</v>
      </c>
      <c r="D97" s="159" t="s">
        <v>510</v>
      </c>
      <c r="E97" s="159">
        <v>42</v>
      </c>
      <c r="F97" s="159">
        <v>3</v>
      </c>
      <c r="G97" s="159" t="s">
        <v>511</v>
      </c>
      <c r="H97" s="159">
        <v>69081</v>
      </c>
      <c r="I97" s="159" t="s">
        <v>512</v>
      </c>
      <c r="J97" s="159" t="s">
        <v>513</v>
      </c>
      <c r="K97" s="159" t="s">
        <v>514</v>
      </c>
      <c r="L97" s="159" t="s">
        <v>515</v>
      </c>
      <c r="M97" s="159" t="s">
        <v>354</v>
      </c>
      <c r="N97" s="159" t="s">
        <v>591</v>
      </c>
      <c r="O97" s="159"/>
      <c r="P97" s="159"/>
      <c r="Q97" s="159" t="s">
        <v>511</v>
      </c>
      <c r="R97" s="159">
        <v>69002</v>
      </c>
      <c r="S97" s="159" t="s">
        <v>518</v>
      </c>
      <c r="T97" s="160" t="s">
        <v>353</v>
      </c>
      <c r="U97" s="159" t="s">
        <v>548</v>
      </c>
      <c r="V97" s="159" t="s">
        <v>549</v>
      </c>
      <c r="W97" s="161">
        <v>16</v>
      </c>
      <c r="X97" s="159"/>
      <c r="Y97" s="159"/>
      <c r="Z97" s="159"/>
      <c r="AA97" s="159" t="s">
        <v>237</v>
      </c>
      <c r="AB97" s="159" t="s">
        <v>566</v>
      </c>
      <c r="AC97" s="159" t="s">
        <v>511</v>
      </c>
      <c r="AD97" s="159">
        <v>69081</v>
      </c>
      <c r="AE97" s="162">
        <v>7.8842939999999997</v>
      </c>
      <c r="AF97" s="162">
        <v>0</v>
      </c>
      <c r="AG97" s="162">
        <f t="shared" si="1"/>
        <v>7.8842939999999997</v>
      </c>
    </row>
    <row r="98" spans="1:33" x14ac:dyDescent="0.3">
      <c r="A98" s="159" t="s">
        <v>507</v>
      </c>
      <c r="B98" s="160" t="s">
        <v>508</v>
      </c>
      <c r="C98" s="160" t="s">
        <v>509</v>
      </c>
      <c r="D98" s="159" t="s">
        <v>510</v>
      </c>
      <c r="E98" s="159">
        <v>42</v>
      </c>
      <c r="F98" s="159">
        <v>3</v>
      </c>
      <c r="G98" s="159" t="s">
        <v>511</v>
      </c>
      <c r="H98" s="159">
        <v>69081</v>
      </c>
      <c r="I98" s="159" t="s">
        <v>512</v>
      </c>
      <c r="J98" s="159" t="s">
        <v>513</v>
      </c>
      <c r="K98" s="159" t="s">
        <v>514</v>
      </c>
      <c r="L98" s="159" t="s">
        <v>515</v>
      </c>
      <c r="M98" s="159" t="s">
        <v>348</v>
      </c>
      <c r="N98" s="159" t="s">
        <v>592</v>
      </c>
      <c r="O98" s="159"/>
      <c r="P98" s="159"/>
      <c r="Q98" s="159" t="s">
        <v>511</v>
      </c>
      <c r="R98" s="159">
        <v>69002</v>
      </c>
      <c r="S98" s="159" t="s">
        <v>518</v>
      </c>
      <c r="T98" s="160" t="s">
        <v>347</v>
      </c>
      <c r="U98" s="159" t="s">
        <v>548</v>
      </c>
      <c r="V98" s="159" t="s">
        <v>549</v>
      </c>
      <c r="W98" s="161">
        <v>16</v>
      </c>
      <c r="X98" s="159"/>
      <c r="Y98" s="159"/>
      <c r="Z98" s="159"/>
      <c r="AA98" s="159" t="s">
        <v>237</v>
      </c>
      <c r="AB98" s="159" t="s">
        <v>566</v>
      </c>
      <c r="AC98" s="159" t="s">
        <v>511</v>
      </c>
      <c r="AD98" s="159">
        <v>69081</v>
      </c>
      <c r="AE98" s="162">
        <v>10.291150999999999</v>
      </c>
      <c r="AF98" s="162">
        <v>0</v>
      </c>
      <c r="AG98" s="162">
        <f t="shared" si="1"/>
        <v>10.291150999999999</v>
      </c>
    </row>
    <row r="99" spans="1:33" x14ac:dyDescent="0.3">
      <c r="A99" s="159" t="s">
        <v>507</v>
      </c>
      <c r="B99" s="160" t="s">
        <v>508</v>
      </c>
      <c r="C99" s="160" t="s">
        <v>509</v>
      </c>
      <c r="D99" s="159" t="s">
        <v>510</v>
      </c>
      <c r="E99" s="159">
        <v>42</v>
      </c>
      <c r="F99" s="159">
        <v>3</v>
      </c>
      <c r="G99" s="159" t="s">
        <v>511</v>
      </c>
      <c r="H99" s="159">
        <v>69081</v>
      </c>
      <c r="I99" s="159" t="s">
        <v>512</v>
      </c>
      <c r="J99" s="159" t="s">
        <v>513</v>
      </c>
      <c r="K99" s="159" t="s">
        <v>514</v>
      </c>
      <c r="L99" s="159" t="s">
        <v>515</v>
      </c>
      <c r="M99" s="159" t="s">
        <v>244</v>
      </c>
      <c r="N99" s="159" t="s">
        <v>593</v>
      </c>
      <c r="O99" s="159" t="s">
        <v>594</v>
      </c>
      <c r="P99" s="159">
        <v>1</v>
      </c>
      <c r="Q99" s="159" t="s">
        <v>511</v>
      </c>
      <c r="R99" s="159">
        <v>69002</v>
      </c>
      <c r="S99" s="159" t="s">
        <v>518</v>
      </c>
      <c r="T99" s="160" t="s">
        <v>243</v>
      </c>
      <c r="U99" s="159" t="s">
        <v>548</v>
      </c>
      <c r="V99" s="159" t="s">
        <v>549</v>
      </c>
      <c r="W99" s="161">
        <v>32</v>
      </c>
      <c r="X99" s="159"/>
      <c r="Y99" s="159"/>
      <c r="Z99" s="159"/>
      <c r="AA99" s="159" t="s">
        <v>237</v>
      </c>
      <c r="AB99" s="159" t="s">
        <v>566</v>
      </c>
      <c r="AC99" s="159" t="s">
        <v>511</v>
      </c>
      <c r="AD99" s="159">
        <v>69081</v>
      </c>
      <c r="AE99" s="162">
        <v>54.160291999999998</v>
      </c>
      <c r="AF99" s="162">
        <v>0</v>
      </c>
      <c r="AG99" s="162">
        <f t="shared" si="1"/>
        <v>54.160291999999998</v>
      </c>
    </row>
    <row r="100" spans="1:33" x14ac:dyDescent="0.3">
      <c r="A100" s="159" t="s">
        <v>507</v>
      </c>
      <c r="B100" s="160" t="s">
        <v>508</v>
      </c>
      <c r="C100" s="160" t="s">
        <v>509</v>
      </c>
      <c r="D100" s="159" t="s">
        <v>510</v>
      </c>
      <c r="E100" s="159">
        <v>42</v>
      </c>
      <c r="F100" s="159">
        <v>3</v>
      </c>
      <c r="G100" s="159" t="s">
        <v>511</v>
      </c>
      <c r="H100" s="159">
        <v>69081</v>
      </c>
      <c r="I100" s="159" t="s">
        <v>512</v>
      </c>
      <c r="J100" s="159" t="s">
        <v>513</v>
      </c>
      <c r="K100" s="159" t="s">
        <v>514</v>
      </c>
      <c r="L100" s="159" t="s">
        <v>515</v>
      </c>
      <c r="M100" s="159" t="s">
        <v>387</v>
      </c>
      <c r="N100" s="159" t="s">
        <v>595</v>
      </c>
      <c r="O100" s="159"/>
      <c r="P100" s="159"/>
      <c r="Q100" s="159" t="s">
        <v>511</v>
      </c>
      <c r="R100" s="159">
        <v>69081</v>
      </c>
      <c r="S100" s="159" t="s">
        <v>518</v>
      </c>
      <c r="T100" s="160" t="s">
        <v>231</v>
      </c>
      <c r="U100" s="159" t="s">
        <v>565</v>
      </c>
      <c r="V100" s="159" t="s">
        <v>549</v>
      </c>
      <c r="W100" s="161">
        <v>16</v>
      </c>
      <c r="X100" s="159"/>
      <c r="Y100" s="159"/>
      <c r="Z100" s="159"/>
      <c r="AA100" s="159" t="s">
        <v>237</v>
      </c>
      <c r="AB100" s="159" t="s">
        <v>566</v>
      </c>
      <c r="AC100" s="159" t="s">
        <v>511</v>
      </c>
      <c r="AD100" s="159">
        <v>69081</v>
      </c>
      <c r="AE100" s="162">
        <v>9.1378039999999991</v>
      </c>
      <c r="AF100" s="162">
        <v>0</v>
      </c>
      <c r="AG100" s="162">
        <f t="shared" si="1"/>
        <v>9.1378039999999991</v>
      </c>
    </row>
    <row r="101" spans="1:33" x14ac:dyDescent="0.3">
      <c r="A101" s="159" t="s">
        <v>507</v>
      </c>
      <c r="B101" s="160" t="s">
        <v>508</v>
      </c>
      <c r="C101" s="160" t="s">
        <v>509</v>
      </c>
      <c r="D101" s="159" t="s">
        <v>510</v>
      </c>
      <c r="E101" s="159">
        <v>42</v>
      </c>
      <c r="F101" s="159">
        <v>3</v>
      </c>
      <c r="G101" s="159" t="s">
        <v>511</v>
      </c>
      <c r="H101" s="159">
        <v>69081</v>
      </c>
      <c r="I101" s="159" t="s">
        <v>512</v>
      </c>
      <c r="J101" s="159" t="s">
        <v>513</v>
      </c>
      <c r="K101" s="159" t="s">
        <v>514</v>
      </c>
      <c r="L101" s="159" t="s">
        <v>515</v>
      </c>
      <c r="M101" s="159" t="s">
        <v>374</v>
      </c>
      <c r="N101" s="159" t="s">
        <v>596</v>
      </c>
      <c r="O101" s="159"/>
      <c r="P101" s="159"/>
      <c r="Q101" s="159" t="s">
        <v>511</v>
      </c>
      <c r="R101" s="159">
        <v>69002</v>
      </c>
      <c r="S101" s="159" t="s">
        <v>518</v>
      </c>
      <c r="T101" s="160" t="s">
        <v>373</v>
      </c>
      <c r="U101" s="159" t="s">
        <v>519</v>
      </c>
      <c r="V101" s="159" t="s">
        <v>520</v>
      </c>
      <c r="W101" s="161">
        <v>10</v>
      </c>
      <c r="X101" s="159"/>
      <c r="Y101" s="159"/>
      <c r="Z101" s="159"/>
      <c r="AA101" s="159" t="s">
        <v>237</v>
      </c>
      <c r="AB101" s="159" t="s">
        <v>566</v>
      </c>
      <c r="AC101" s="159" t="s">
        <v>511</v>
      </c>
      <c r="AD101" s="159">
        <v>69081</v>
      </c>
      <c r="AE101" s="162">
        <v>5.3020000000000003E-3</v>
      </c>
      <c r="AF101" s="162">
        <v>0</v>
      </c>
      <c r="AG101" s="162">
        <f t="shared" si="1"/>
        <v>5.3020000000000003E-3</v>
      </c>
    </row>
    <row r="102" spans="1:33" x14ac:dyDescent="0.3">
      <c r="A102" s="159" t="s">
        <v>507</v>
      </c>
      <c r="B102" s="160" t="s">
        <v>508</v>
      </c>
      <c r="C102" s="160" t="s">
        <v>509</v>
      </c>
      <c r="D102" s="159" t="s">
        <v>510</v>
      </c>
      <c r="E102" s="159">
        <v>42</v>
      </c>
      <c r="F102" s="159">
        <v>3</v>
      </c>
      <c r="G102" s="159" t="s">
        <v>511</v>
      </c>
      <c r="H102" s="159">
        <v>69081</v>
      </c>
      <c r="I102" s="159" t="s">
        <v>512</v>
      </c>
      <c r="J102" s="159" t="s">
        <v>513</v>
      </c>
      <c r="K102" s="159" t="s">
        <v>514</v>
      </c>
      <c r="L102" s="159" t="s">
        <v>515</v>
      </c>
      <c r="M102" s="159" t="s">
        <v>164</v>
      </c>
      <c r="N102" s="159" t="s">
        <v>593</v>
      </c>
      <c r="O102" s="159">
        <v>2747</v>
      </c>
      <c r="P102" s="159"/>
      <c r="Q102" s="159" t="s">
        <v>511</v>
      </c>
      <c r="R102" s="159">
        <v>69002</v>
      </c>
      <c r="S102" s="159" t="s">
        <v>518</v>
      </c>
      <c r="T102" s="160" t="s">
        <v>163</v>
      </c>
      <c r="U102" s="159" t="s">
        <v>548</v>
      </c>
      <c r="V102" s="159" t="s">
        <v>549</v>
      </c>
      <c r="W102" s="161">
        <v>40</v>
      </c>
      <c r="X102" s="159"/>
      <c r="Y102" s="159"/>
      <c r="Z102" s="159"/>
      <c r="AA102" s="159" t="s">
        <v>108</v>
      </c>
      <c r="AB102" s="159" t="s">
        <v>566</v>
      </c>
      <c r="AC102" s="159" t="s">
        <v>511</v>
      </c>
      <c r="AD102" s="159">
        <v>69081</v>
      </c>
      <c r="AE102" s="162">
        <v>0.79035999999999995</v>
      </c>
      <c r="AF102" s="162">
        <v>0</v>
      </c>
      <c r="AG102" s="162">
        <f t="shared" si="1"/>
        <v>0.79035999999999995</v>
      </c>
    </row>
    <row r="103" spans="1:33" x14ac:dyDescent="0.3">
      <c r="A103" s="159" t="s">
        <v>507</v>
      </c>
      <c r="B103" s="160" t="s">
        <v>508</v>
      </c>
      <c r="C103" s="160" t="s">
        <v>509</v>
      </c>
      <c r="D103" s="159" t="s">
        <v>510</v>
      </c>
      <c r="E103" s="159">
        <v>42</v>
      </c>
      <c r="F103" s="159">
        <v>3</v>
      </c>
      <c r="G103" s="159" t="s">
        <v>511</v>
      </c>
      <c r="H103" s="159">
        <v>69081</v>
      </c>
      <c r="I103" s="159" t="s">
        <v>512</v>
      </c>
      <c r="J103" s="159" t="s">
        <v>513</v>
      </c>
      <c r="K103" s="159" t="s">
        <v>514</v>
      </c>
      <c r="L103" s="159" t="s">
        <v>515</v>
      </c>
      <c r="M103" s="159" t="s">
        <v>160</v>
      </c>
      <c r="N103" s="159" t="s">
        <v>537</v>
      </c>
      <c r="O103" s="159">
        <v>2010</v>
      </c>
      <c r="P103" s="159">
        <v>18</v>
      </c>
      <c r="Q103" s="159" t="s">
        <v>511</v>
      </c>
      <c r="R103" s="159">
        <v>69002</v>
      </c>
      <c r="S103" s="159" t="s">
        <v>518</v>
      </c>
      <c r="T103" s="160" t="s">
        <v>159</v>
      </c>
      <c r="U103" s="159" t="s">
        <v>548</v>
      </c>
      <c r="V103" s="159" t="s">
        <v>549</v>
      </c>
      <c r="W103" s="161">
        <v>32</v>
      </c>
      <c r="X103" s="159"/>
      <c r="Y103" s="159"/>
      <c r="Z103" s="159"/>
      <c r="AA103" s="159" t="s">
        <v>108</v>
      </c>
      <c r="AB103" s="159" t="s">
        <v>566</v>
      </c>
      <c r="AC103" s="159" t="s">
        <v>511</v>
      </c>
      <c r="AD103" s="159">
        <v>69081</v>
      </c>
      <c r="AE103" s="162">
        <v>0.912076</v>
      </c>
      <c r="AF103" s="162">
        <v>0</v>
      </c>
      <c r="AG103" s="162">
        <f t="shared" si="1"/>
        <v>0.912076</v>
      </c>
    </row>
    <row r="104" spans="1:33" x14ac:dyDescent="0.3">
      <c r="A104" s="159" t="s">
        <v>507</v>
      </c>
      <c r="B104" s="160" t="s">
        <v>508</v>
      </c>
      <c r="C104" s="160" t="s">
        <v>509</v>
      </c>
      <c r="D104" s="159" t="s">
        <v>510</v>
      </c>
      <c r="E104" s="159">
        <v>42</v>
      </c>
      <c r="F104" s="159">
        <v>3</v>
      </c>
      <c r="G104" s="159" t="s">
        <v>511</v>
      </c>
      <c r="H104" s="159">
        <v>69081</v>
      </c>
      <c r="I104" s="159" t="s">
        <v>512</v>
      </c>
      <c r="J104" s="159" t="s">
        <v>513</v>
      </c>
      <c r="K104" s="159" t="s">
        <v>514</v>
      </c>
      <c r="L104" s="159" t="s">
        <v>515</v>
      </c>
      <c r="M104" s="159" t="s">
        <v>172</v>
      </c>
      <c r="N104" s="159" t="s">
        <v>597</v>
      </c>
      <c r="O104" s="159">
        <v>1217</v>
      </c>
      <c r="P104" s="159">
        <v>17</v>
      </c>
      <c r="Q104" s="159" t="s">
        <v>511</v>
      </c>
      <c r="R104" s="159">
        <v>69002</v>
      </c>
      <c r="S104" s="159" t="s">
        <v>518</v>
      </c>
      <c r="T104" s="160" t="s">
        <v>171</v>
      </c>
      <c r="U104" s="159" t="s">
        <v>548</v>
      </c>
      <c r="V104" s="159" t="s">
        <v>549</v>
      </c>
      <c r="W104" s="161">
        <v>20</v>
      </c>
      <c r="X104" s="159"/>
      <c r="Y104" s="159"/>
      <c r="Z104" s="159"/>
      <c r="AA104" s="159" t="s">
        <v>108</v>
      </c>
      <c r="AB104" s="159" t="s">
        <v>566</v>
      </c>
      <c r="AC104" s="159" t="s">
        <v>511</v>
      </c>
      <c r="AD104" s="159">
        <v>69081</v>
      </c>
      <c r="AE104" s="162">
        <v>0.310977</v>
      </c>
      <c r="AF104" s="162">
        <v>0</v>
      </c>
      <c r="AG104" s="162">
        <f t="shared" si="1"/>
        <v>0.310977</v>
      </c>
    </row>
    <row r="105" spans="1:33" x14ac:dyDescent="0.3">
      <c r="A105" s="159" t="s">
        <v>507</v>
      </c>
      <c r="B105" s="160" t="s">
        <v>508</v>
      </c>
      <c r="C105" s="160" t="s">
        <v>509</v>
      </c>
      <c r="D105" s="159" t="s">
        <v>510</v>
      </c>
      <c r="E105" s="159">
        <v>42</v>
      </c>
      <c r="F105" s="159">
        <v>3</v>
      </c>
      <c r="G105" s="159" t="s">
        <v>511</v>
      </c>
      <c r="H105" s="159">
        <v>69081</v>
      </c>
      <c r="I105" s="159" t="s">
        <v>512</v>
      </c>
      <c r="J105" s="159" t="s">
        <v>513</v>
      </c>
      <c r="K105" s="159" t="s">
        <v>514</v>
      </c>
      <c r="L105" s="159" t="s">
        <v>515</v>
      </c>
      <c r="M105" s="159" t="s">
        <v>145</v>
      </c>
      <c r="N105" s="159" t="s">
        <v>598</v>
      </c>
      <c r="O105" s="159" t="s">
        <v>599</v>
      </c>
      <c r="P105" s="159">
        <v>3</v>
      </c>
      <c r="Q105" s="159" t="s">
        <v>511</v>
      </c>
      <c r="R105" s="159">
        <v>69002</v>
      </c>
      <c r="S105" s="159" t="s">
        <v>518</v>
      </c>
      <c r="T105" s="160" t="s">
        <v>144</v>
      </c>
      <c r="U105" s="159" t="s">
        <v>570</v>
      </c>
      <c r="V105" s="159" t="s">
        <v>549</v>
      </c>
      <c r="W105" s="161">
        <v>16</v>
      </c>
      <c r="X105" s="159"/>
      <c r="Y105" s="159"/>
      <c r="Z105" s="159"/>
      <c r="AA105" s="159" t="s">
        <v>108</v>
      </c>
      <c r="AB105" s="159" t="s">
        <v>566</v>
      </c>
      <c r="AC105" s="159" t="s">
        <v>511</v>
      </c>
      <c r="AD105" s="159">
        <v>69081</v>
      </c>
      <c r="AE105" s="162">
        <v>0.455148</v>
      </c>
      <c r="AF105" s="162">
        <v>2.6529050000000001</v>
      </c>
      <c r="AG105" s="162">
        <f t="shared" si="1"/>
        <v>3.108053</v>
      </c>
    </row>
    <row r="106" spans="1:33" x14ac:dyDescent="0.3">
      <c r="A106" s="159" t="s">
        <v>507</v>
      </c>
      <c r="B106" s="160" t="s">
        <v>508</v>
      </c>
      <c r="C106" s="160" t="s">
        <v>509</v>
      </c>
      <c r="D106" s="159" t="s">
        <v>510</v>
      </c>
      <c r="E106" s="159">
        <v>42</v>
      </c>
      <c r="F106" s="159">
        <v>3</v>
      </c>
      <c r="G106" s="159" t="s">
        <v>511</v>
      </c>
      <c r="H106" s="159">
        <v>69081</v>
      </c>
      <c r="I106" s="159" t="s">
        <v>512</v>
      </c>
      <c r="J106" s="159" t="s">
        <v>513</v>
      </c>
      <c r="K106" s="159" t="s">
        <v>514</v>
      </c>
      <c r="L106" s="159" t="s">
        <v>515</v>
      </c>
      <c r="M106" s="159" t="s">
        <v>123</v>
      </c>
      <c r="N106" s="159" t="s">
        <v>600</v>
      </c>
      <c r="O106" s="159" t="s">
        <v>601</v>
      </c>
      <c r="P106" s="159" t="s">
        <v>601</v>
      </c>
      <c r="Q106" s="159" t="s">
        <v>511</v>
      </c>
      <c r="R106" s="159">
        <v>69002</v>
      </c>
      <c r="S106" s="159" t="s">
        <v>518</v>
      </c>
      <c r="T106" s="160" t="s">
        <v>122</v>
      </c>
      <c r="U106" s="159" t="s">
        <v>579</v>
      </c>
      <c r="V106" s="159" t="s">
        <v>549</v>
      </c>
      <c r="W106" s="161">
        <v>16</v>
      </c>
      <c r="X106" s="159"/>
      <c r="Y106" s="159"/>
      <c r="Z106" s="159"/>
      <c r="AA106" s="159" t="s">
        <v>108</v>
      </c>
      <c r="AB106" s="159" t="s">
        <v>566</v>
      </c>
      <c r="AC106" s="159" t="s">
        <v>511</v>
      </c>
      <c r="AD106" s="159">
        <v>69081</v>
      </c>
      <c r="AE106" s="162">
        <v>4.631005</v>
      </c>
      <c r="AF106" s="162">
        <v>2.2272980000000002</v>
      </c>
      <c r="AG106" s="162">
        <f t="shared" si="1"/>
        <v>6.8583030000000003</v>
      </c>
    </row>
    <row r="107" spans="1:33" x14ac:dyDescent="0.3">
      <c r="A107" s="159" t="s">
        <v>507</v>
      </c>
      <c r="B107" s="160" t="s">
        <v>508</v>
      </c>
      <c r="C107" s="160" t="s">
        <v>509</v>
      </c>
      <c r="D107" s="159" t="s">
        <v>510</v>
      </c>
      <c r="E107" s="159">
        <v>42</v>
      </c>
      <c r="F107" s="159">
        <v>3</v>
      </c>
      <c r="G107" s="159" t="s">
        <v>511</v>
      </c>
      <c r="H107" s="159">
        <v>69081</v>
      </c>
      <c r="I107" s="159" t="s">
        <v>512</v>
      </c>
      <c r="J107" s="159" t="s">
        <v>513</v>
      </c>
      <c r="K107" s="159" t="s">
        <v>514</v>
      </c>
      <c r="L107" s="159" t="s">
        <v>515</v>
      </c>
      <c r="M107" s="159" t="s">
        <v>143</v>
      </c>
      <c r="N107" s="159" t="s">
        <v>602</v>
      </c>
      <c r="O107" s="159">
        <v>588</v>
      </c>
      <c r="P107" s="159">
        <v>2</v>
      </c>
      <c r="Q107" s="159" t="s">
        <v>511</v>
      </c>
      <c r="R107" s="159">
        <v>69002</v>
      </c>
      <c r="S107" s="159" t="s">
        <v>518</v>
      </c>
      <c r="T107" s="160" t="s">
        <v>142</v>
      </c>
      <c r="U107" s="159" t="s">
        <v>570</v>
      </c>
      <c r="V107" s="159" t="s">
        <v>549</v>
      </c>
      <c r="W107" s="161">
        <v>20</v>
      </c>
      <c r="X107" s="159"/>
      <c r="Y107" s="159"/>
      <c r="Z107" s="159"/>
      <c r="AA107" s="159" t="s">
        <v>108</v>
      </c>
      <c r="AB107" s="159" t="s">
        <v>566</v>
      </c>
      <c r="AC107" s="159" t="s">
        <v>511</v>
      </c>
      <c r="AD107" s="159">
        <v>69081</v>
      </c>
      <c r="AE107" s="162">
        <v>0.27582800000000002</v>
      </c>
      <c r="AF107" s="162">
        <v>3.0439470000000002</v>
      </c>
      <c r="AG107" s="162">
        <f t="shared" si="1"/>
        <v>3.3197750000000004</v>
      </c>
    </row>
    <row r="108" spans="1:33" x14ac:dyDescent="0.3">
      <c r="A108" s="159" t="s">
        <v>507</v>
      </c>
      <c r="B108" s="160" t="s">
        <v>508</v>
      </c>
      <c r="C108" s="160" t="s">
        <v>509</v>
      </c>
      <c r="D108" s="159" t="s">
        <v>510</v>
      </c>
      <c r="E108" s="159">
        <v>42</v>
      </c>
      <c r="F108" s="159">
        <v>3</v>
      </c>
      <c r="G108" s="159" t="s">
        <v>511</v>
      </c>
      <c r="H108" s="159">
        <v>69081</v>
      </c>
      <c r="I108" s="159" t="s">
        <v>512</v>
      </c>
      <c r="J108" s="159" t="s">
        <v>513</v>
      </c>
      <c r="K108" s="159" t="s">
        <v>514</v>
      </c>
      <c r="L108" s="159" t="s">
        <v>515</v>
      </c>
      <c r="M108" s="159" t="s">
        <v>362</v>
      </c>
      <c r="N108" s="159" t="s">
        <v>591</v>
      </c>
      <c r="O108" s="159" t="s">
        <v>430</v>
      </c>
      <c r="P108" s="159"/>
      <c r="Q108" s="159" t="s">
        <v>511</v>
      </c>
      <c r="R108" s="159">
        <v>69002</v>
      </c>
      <c r="S108" s="159" t="s">
        <v>518</v>
      </c>
      <c r="T108" s="160" t="s">
        <v>361</v>
      </c>
      <c r="U108" s="159" t="s">
        <v>548</v>
      </c>
      <c r="V108" s="159" t="s">
        <v>549</v>
      </c>
      <c r="W108" s="161">
        <v>32</v>
      </c>
      <c r="X108" s="159"/>
      <c r="Y108" s="159"/>
      <c r="Z108" s="159"/>
      <c r="AA108" s="159" t="s">
        <v>108</v>
      </c>
      <c r="AB108" s="159" t="s">
        <v>566</v>
      </c>
      <c r="AC108" s="159" t="s">
        <v>511</v>
      </c>
      <c r="AD108" s="159">
        <v>69081</v>
      </c>
      <c r="AE108" s="162">
        <v>5.9017520000000001</v>
      </c>
      <c r="AF108" s="162">
        <v>0</v>
      </c>
      <c r="AG108" s="162">
        <f t="shared" si="1"/>
        <v>5.9017520000000001</v>
      </c>
    </row>
    <row r="109" spans="1:33" x14ac:dyDescent="0.3">
      <c r="A109" s="159" t="s">
        <v>507</v>
      </c>
      <c r="B109" s="160" t="s">
        <v>508</v>
      </c>
      <c r="C109" s="160" t="s">
        <v>509</v>
      </c>
      <c r="D109" s="159" t="s">
        <v>510</v>
      </c>
      <c r="E109" s="159">
        <v>42</v>
      </c>
      <c r="F109" s="159">
        <v>3</v>
      </c>
      <c r="G109" s="159" t="s">
        <v>511</v>
      </c>
      <c r="H109" s="159">
        <v>69081</v>
      </c>
      <c r="I109" s="159" t="s">
        <v>512</v>
      </c>
      <c r="J109" s="159" t="s">
        <v>513</v>
      </c>
      <c r="K109" s="159" t="s">
        <v>514</v>
      </c>
      <c r="L109" s="159" t="s">
        <v>515</v>
      </c>
      <c r="M109" s="159" t="s">
        <v>127</v>
      </c>
      <c r="N109" s="159" t="s">
        <v>603</v>
      </c>
      <c r="O109" s="159">
        <v>3347</v>
      </c>
      <c r="P109" s="159"/>
      <c r="Q109" s="159" t="s">
        <v>511</v>
      </c>
      <c r="R109" s="159">
        <v>69003</v>
      </c>
      <c r="S109" s="159" t="s">
        <v>518</v>
      </c>
      <c r="T109" s="160" t="s">
        <v>126</v>
      </c>
      <c r="U109" s="159" t="s">
        <v>548</v>
      </c>
      <c r="V109" s="159" t="s">
        <v>549</v>
      </c>
      <c r="W109" s="161">
        <v>25</v>
      </c>
      <c r="X109" s="159"/>
      <c r="Y109" s="159"/>
      <c r="Z109" s="159"/>
      <c r="AA109" s="159" t="s">
        <v>108</v>
      </c>
      <c r="AB109" s="159" t="s">
        <v>566</v>
      </c>
      <c r="AC109" s="159" t="s">
        <v>511</v>
      </c>
      <c r="AD109" s="159">
        <v>69081</v>
      </c>
      <c r="AE109" s="162">
        <v>6.3348380000000004</v>
      </c>
      <c r="AF109" s="162">
        <v>0</v>
      </c>
      <c r="AG109" s="162">
        <f t="shared" si="1"/>
        <v>6.3348380000000004</v>
      </c>
    </row>
    <row r="110" spans="1:33" x14ac:dyDescent="0.3">
      <c r="A110" s="159" t="s">
        <v>507</v>
      </c>
      <c r="B110" s="159" t="s">
        <v>508</v>
      </c>
      <c r="C110" s="159" t="s">
        <v>509</v>
      </c>
      <c r="D110" s="159" t="s">
        <v>510</v>
      </c>
      <c r="E110" s="159">
        <v>42</v>
      </c>
      <c r="F110" s="159">
        <v>3</v>
      </c>
      <c r="G110" s="159" t="s">
        <v>511</v>
      </c>
      <c r="H110" s="159">
        <v>69081</v>
      </c>
      <c r="I110" s="159" t="s">
        <v>512</v>
      </c>
      <c r="J110" s="159" t="s">
        <v>513</v>
      </c>
      <c r="K110" s="159" t="s">
        <v>514</v>
      </c>
      <c r="L110" s="159" t="s">
        <v>515</v>
      </c>
      <c r="M110" s="159" t="s">
        <v>135</v>
      </c>
      <c r="N110" s="159" t="s">
        <v>604</v>
      </c>
      <c r="O110" s="159">
        <v>171</v>
      </c>
      <c r="P110" s="159">
        <v>1</v>
      </c>
      <c r="Q110" s="159" t="s">
        <v>552</v>
      </c>
      <c r="R110" s="159">
        <v>69141</v>
      </c>
      <c r="S110" s="159" t="s">
        <v>518</v>
      </c>
      <c r="T110" s="159" t="s">
        <v>134</v>
      </c>
      <c r="U110" s="159" t="s">
        <v>548</v>
      </c>
      <c r="V110" s="159" t="s">
        <v>549</v>
      </c>
      <c r="W110" s="159">
        <v>25</v>
      </c>
      <c r="X110" s="159"/>
      <c r="Y110" s="159"/>
      <c r="Z110" s="159"/>
      <c r="AA110" s="159" t="s">
        <v>108</v>
      </c>
      <c r="AB110" s="159" t="s">
        <v>566</v>
      </c>
      <c r="AC110" s="159" t="s">
        <v>511</v>
      </c>
      <c r="AD110" s="159">
        <v>69081</v>
      </c>
      <c r="AE110" s="159">
        <v>5.2595369999999999</v>
      </c>
      <c r="AF110" s="159">
        <v>0</v>
      </c>
      <c r="AG110" s="162">
        <f t="shared" si="1"/>
        <v>5.2595369999999999</v>
      </c>
    </row>
    <row r="111" spans="1:33" x14ac:dyDescent="0.3">
      <c r="A111" s="159" t="s">
        <v>507</v>
      </c>
      <c r="B111" s="160" t="s">
        <v>508</v>
      </c>
      <c r="C111" s="160" t="s">
        <v>509</v>
      </c>
      <c r="D111" s="159" t="s">
        <v>510</v>
      </c>
      <c r="E111" s="159">
        <v>42</v>
      </c>
      <c r="F111" s="159">
        <v>3</v>
      </c>
      <c r="G111" s="159" t="s">
        <v>511</v>
      </c>
      <c r="H111" s="159">
        <v>69081</v>
      </c>
      <c r="I111" s="159" t="s">
        <v>512</v>
      </c>
      <c r="J111" s="159" t="s">
        <v>513</v>
      </c>
      <c r="K111" s="159" t="s">
        <v>514</v>
      </c>
      <c r="L111" s="159" t="s">
        <v>515</v>
      </c>
      <c r="M111" s="159" t="s">
        <v>368</v>
      </c>
      <c r="N111" s="159" t="s">
        <v>581</v>
      </c>
      <c r="O111" s="159" t="s">
        <v>582</v>
      </c>
      <c r="P111" s="159">
        <v>1</v>
      </c>
      <c r="Q111" s="159" t="s">
        <v>511</v>
      </c>
      <c r="R111" s="159">
        <v>69002</v>
      </c>
      <c r="S111" s="159" t="s">
        <v>518</v>
      </c>
      <c r="T111" s="160" t="s">
        <v>367</v>
      </c>
      <c r="U111" s="159" t="s">
        <v>548</v>
      </c>
      <c r="V111" s="159" t="s">
        <v>549</v>
      </c>
      <c r="W111" s="161">
        <v>25</v>
      </c>
      <c r="X111" s="159"/>
      <c r="Y111" s="159"/>
      <c r="Z111" s="159"/>
      <c r="AA111" s="159" t="s">
        <v>108</v>
      </c>
      <c r="AB111" s="159" t="s">
        <v>566</v>
      </c>
      <c r="AC111" s="159" t="s">
        <v>511</v>
      </c>
      <c r="AD111" s="159">
        <v>69081</v>
      </c>
      <c r="AE111" s="162">
        <v>2.7373349999999999</v>
      </c>
      <c r="AF111" s="162">
        <v>0</v>
      </c>
      <c r="AG111" s="162">
        <f t="shared" si="1"/>
        <v>2.7373349999999999</v>
      </c>
    </row>
    <row r="112" spans="1:33" x14ac:dyDescent="0.3">
      <c r="A112" s="159" t="s">
        <v>507</v>
      </c>
      <c r="B112" s="160" t="s">
        <v>508</v>
      </c>
      <c r="C112" s="160" t="s">
        <v>509</v>
      </c>
      <c r="D112" s="159" t="s">
        <v>510</v>
      </c>
      <c r="E112" s="159">
        <v>42</v>
      </c>
      <c r="F112" s="159">
        <v>3</v>
      </c>
      <c r="G112" s="159" t="s">
        <v>511</v>
      </c>
      <c r="H112" s="159">
        <v>69081</v>
      </c>
      <c r="I112" s="159" t="s">
        <v>512</v>
      </c>
      <c r="J112" s="159" t="s">
        <v>513</v>
      </c>
      <c r="K112" s="159" t="s">
        <v>514</v>
      </c>
      <c r="L112" s="159" t="s">
        <v>515</v>
      </c>
      <c r="M112" s="159" t="s">
        <v>114</v>
      </c>
      <c r="N112" s="159" t="s">
        <v>114</v>
      </c>
      <c r="O112" s="159"/>
      <c r="P112" s="159"/>
      <c r="Q112" s="159" t="s">
        <v>511</v>
      </c>
      <c r="R112" s="159">
        <v>69002</v>
      </c>
      <c r="S112" s="159" t="s">
        <v>518</v>
      </c>
      <c r="T112" s="160" t="s">
        <v>113</v>
      </c>
      <c r="U112" s="159" t="s">
        <v>579</v>
      </c>
      <c r="V112" s="159" t="s">
        <v>549</v>
      </c>
      <c r="W112" s="161">
        <v>100</v>
      </c>
      <c r="X112" s="159"/>
      <c r="Y112" s="159"/>
      <c r="Z112" s="159"/>
      <c r="AA112" s="159" t="s">
        <v>108</v>
      </c>
      <c r="AB112" s="159" t="s">
        <v>566</v>
      </c>
      <c r="AC112" s="159" t="s">
        <v>511</v>
      </c>
      <c r="AD112" s="159">
        <v>69081</v>
      </c>
      <c r="AE112" s="162">
        <v>5.8004990000000003</v>
      </c>
      <c r="AF112" s="162">
        <v>2.8888959999999999</v>
      </c>
      <c r="AG112" s="162">
        <f t="shared" si="1"/>
        <v>8.6893950000000011</v>
      </c>
    </row>
    <row r="113" spans="1:35" x14ac:dyDescent="0.3">
      <c r="A113" s="159" t="s">
        <v>507</v>
      </c>
      <c r="B113" s="160" t="s">
        <v>508</v>
      </c>
      <c r="C113" s="160" t="s">
        <v>509</v>
      </c>
      <c r="D113" s="159" t="s">
        <v>510</v>
      </c>
      <c r="E113" s="159">
        <v>42</v>
      </c>
      <c r="F113" s="159">
        <v>3</v>
      </c>
      <c r="G113" s="159" t="s">
        <v>511</v>
      </c>
      <c r="H113" s="159">
        <v>69081</v>
      </c>
      <c r="I113" s="159" t="s">
        <v>512</v>
      </c>
      <c r="J113" s="159" t="s">
        <v>513</v>
      </c>
      <c r="K113" s="159" t="s">
        <v>514</v>
      </c>
      <c r="L113" s="159" t="s">
        <v>515</v>
      </c>
      <c r="M113" s="159" t="s">
        <v>109</v>
      </c>
      <c r="N113" s="159" t="s">
        <v>605</v>
      </c>
      <c r="O113" s="159">
        <v>515</v>
      </c>
      <c r="P113" s="159">
        <v>21</v>
      </c>
      <c r="Q113" s="159" t="s">
        <v>511</v>
      </c>
      <c r="R113" s="159">
        <v>69002</v>
      </c>
      <c r="S113" s="159" t="s">
        <v>518</v>
      </c>
      <c r="T113" s="160" t="s">
        <v>107</v>
      </c>
      <c r="U113" s="159" t="s">
        <v>579</v>
      </c>
      <c r="V113" s="159" t="s">
        <v>549</v>
      </c>
      <c r="W113" s="161">
        <v>25</v>
      </c>
      <c r="X113" s="159"/>
      <c r="Y113" s="159"/>
      <c r="Z113" s="159"/>
      <c r="AA113" s="159" t="s">
        <v>108</v>
      </c>
      <c r="AB113" s="159" t="s">
        <v>566</v>
      </c>
      <c r="AC113" s="159" t="s">
        <v>511</v>
      </c>
      <c r="AD113" s="159">
        <v>69081</v>
      </c>
      <c r="AE113" s="162">
        <v>5.5860000000000003</v>
      </c>
      <c r="AF113" s="162">
        <v>5.3140000000000001</v>
      </c>
      <c r="AG113" s="162">
        <f t="shared" si="1"/>
        <v>10.9</v>
      </c>
    </row>
    <row r="114" spans="1:35" x14ac:dyDescent="0.3">
      <c r="A114" s="159" t="s">
        <v>507</v>
      </c>
      <c r="B114" s="160" t="s">
        <v>508</v>
      </c>
      <c r="C114" s="160" t="s">
        <v>509</v>
      </c>
      <c r="D114" s="159" t="s">
        <v>510</v>
      </c>
      <c r="E114" s="159">
        <v>42</v>
      </c>
      <c r="F114" s="159">
        <v>3</v>
      </c>
      <c r="G114" s="159" t="s">
        <v>511</v>
      </c>
      <c r="H114" s="159">
        <v>69081</v>
      </c>
      <c r="I114" s="159" t="s">
        <v>512</v>
      </c>
      <c r="J114" s="159" t="s">
        <v>513</v>
      </c>
      <c r="K114" s="159" t="s">
        <v>514</v>
      </c>
      <c r="L114" s="159" t="s">
        <v>515</v>
      </c>
      <c r="M114" s="159" t="s">
        <v>116</v>
      </c>
      <c r="N114" s="159" t="s">
        <v>537</v>
      </c>
      <c r="O114" s="159" t="s">
        <v>430</v>
      </c>
      <c r="P114" s="159">
        <v>22</v>
      </c>
      <c r="Q114" s="159" t="s">
        <v>511</v>
      </c>
      <c r="R114" s="159">
        <v>69002</v>
      </c>
      <c r="S114" s="159" t="s">
        <v>518</v>
      </c>
      <c r="T114" s="160" t="s">
        <v>115</v>
      </c>
      <c r="U114" s="159" t="s">
        <v>548</v>
      </c>
      <c r="V114" s="159" t="s">
        <v>549</v>
      </c>
      <c r="W114" s="161">
        <v>100</v>
      </c>
      <c r="X114" s="159"/>
      <c r="Y114" s="159"/>
      <c r="Z114" s="159"/>
      <c r="AA114" s="159" t="s">
        <v>108</v>
      </c>
      <c r="AB114" s="159" t="s">
        <v>566</v>
      </c>
      <c r="AC114" s="159" t="s">
        <v>511</v>
      </c>
      <c r="AD114" s="159">
        <v>69081</v>
      </c>
      <c r="AE114" s="162">
        <v>7.9601480000000002</v>
      </c>
      <c r="AF114" s="162">
        <v>0</v>
      </c>
      <c r="AG114" s="162">
        <f t="shared" si="1"/>
        <v>7.9601480000000002</v>
      </c>
      <c r="AI114" t="s">
        <v>606</v>
      </c>
    </row>
    <row r="115" spans="1:35" x14ac:dyDescent="0.3">
      <c r="A115" s="159" t="s">
        <v>507</v>
      </c>
      <c r="B115" s="160" t="s">
        <v>508</v>
      </c>
      <c r="C115" s="160" t="s">
        <v>509</v>
      </c>
      <c r="D115" s="159" t="s">
        <v>510</v>
      </c>
      <c r="E115" s="159">
        <v>42</v>
      </c>
      <c r="F115" s="159">
        <v>3</v>
      </c>
      <c r="G115" s="159" t="s">
        <v>511</v>
      </c>
      <c r="H115" s="159">
        <v>69081</v>
      </c>
      <c r="I115" s="159" t="s">
        <v>512</v>
      </c>
      <c r="J115" s="159" t="s">
        <v>513</v>
      </c>
      <c r="K115" s="159" t="s">
        <v>514</v>
      </c>
      <c r="L115" s="159" t="s">
        <v>515</v>
      </c>
      <c r="M115" s="159" t="s">
        <v>607</v>
      </c>
      <c r="N115" s="159" t="s">
        <v>608</v>
      </c>
      <c r="O115" s="159">
        <v>651</v>
      </c>
      <c r="P115" s="159">
        <v>13</v>
      </c>
      <c r="Q115" s="159" t="s">
        <v>511</v>
      </c>
      <c r="R115" s="159">
        <v>69002</v>
      </c>
      <c r="S115" s="159" t="s">
        <v>518</v>
      </c>
      <c r="T115" s="160" t="s">
        <v>207</v>
      </c>
      <c r="U115" s="159" t="s">
        <v>548</v>
      </c>
      <c r="V115" s="159" t="s">
        <v>549</v>
      </c>
      <c r="W115" s="161">
        <v>16</v>
      </c>
      <c r="X115" s="159"/>
      <c r="Y115" s="159"/>
      <c r="Z115" s="159"/>
      <c r="AA115" s="159" t="s">
        <v>108</v>
      </c>
      <c r="AB115" s="159" t="s">
        <v>566</v>
      </c>
      <c r="AC115" s="159" t="s">
        <v>511</v>
      </c>
      <c r="AD115" s="159">
        <v>69081</v>
      </c>
      <c r="AE115" s="162">
        <v>8.1105999999999998E-2</v>
      </c>
      <c r="AF115" s="162">
        <v>0</v>
      </c>
      <c r="AG115" s="162">
        <f t="shared" si="1"/>
        <v>8.1105999999999998E-2</v>
      </c>
    </row>
    <row r="116" spans="1:35" x14ac:dyDescent="0.3">
      <c r="A116" s="159" t="s">
        <v>507</v>
      </c>
      <c r="B116" s="160" t="s">
        <v>508</v>
      </c>
      <c r="C116" s="160" t="s">
        <v>509</v>
      </c>
      <c r="D116" s="159" t="s">
        <v>510</v>
      </c>
      <c r="E116" s="159">
        <v>42</v>
      </c>
      <c r="F116" s="159">
        <v>3</v>
      </c>
      <c r="G116" s="159" t="s">
        <v>511</v>
      </c>
      <c r="H116" s="159">
        <v>69081</v>
      </c>
      <c r="I116" s="159" t="s">
        <v>512</v>
      </c>
      <c r="J116" s="159" t="s">
        <v>513</v>
      </c>
      <c r="K116" s="159" t="s">
        <v>514</v>
      </c>
      <c r="L116" s="159" t="s">
        <v>515</v>
      </c>
      <c r="M116" s="159" t="s">
        <v>150</v>
      </c>
      <c r="N116" s="159" t="s">
        <v>537</v>
      </c>
      <c r="O116" s="159">
        <v>283</v>
      </c>
      <c r="P116" s="159">
        <v>43</v>
      </c>
      <c r="Q116" s="159" t="s">
        <v>511</v>
      </c>
      <c r="R116" s="159">
        <v>69002</v>
      </c>
      <c r="S116" s="159" t="s">
        <v>518</v>
      </c>
      <c r="T116" s="160" t="s">
        <v>149</v>
      </c>
      <c r="U116" s="159" t="s">
        <v>548</v>
      </c>
      <c r="V116" s="159" t="s">
        <v>549</v>
      </c>
      <c r="W116" s="161">
        <v>50</v>
      </c>
      <c r="X116" s="159"/>
      <c r="Y116" s="159"/>
      <c r="Z116" s="159"/>
      <c r="AA116" s="159" t="s">
        <v>108</v>
      </c>
      <c r="AB116" s="159" t="s">
        <v>566</v>
      </c>
      <c r="AC116" s="159" t="s">
        <v>511</v>
      </c>
      <c r="AD116" s="159">
        <v>69081</v>
      </c>
      <c r="AE116" s="162">
        <v>1.7704260000000001</v>
      </c>
      <c r="AF116" s="162">
        <v>0</v>
      </c>
      <c r="AG116" s="162">
        <f t="shared" si="1"/>
        <v>1.7704260000000001</v>
      </c>
    </row>
    <row r="117" spans="1:35" x14ac:dyDescent="0.3">
      <c r="A117" s="159" t="s">
        <v>507</v>
      </c>
      <c r="B117" s="160" t="s">
        <v>508</v>
      </c>
      <c r="C117" s="160" t="s">
        <v>509</v>
      </c>
      <c r="D117" s="159" t="s">
        <v>510</v>
      </c>
      <c r="E117" s="159">
        <v>42</v>
      </c>
      <c r="F117" s="159">
        <v>3</v>
      </c>
      <c r="G117" s="159" t="s">
        <v>511</v>
      </c>
      <c r="H117" s="159">
        <v>69081</v>
      </c>
      <c r="I117" s="159" t="s">
        <v>512</v>
      </c>
      <c r="J117" s="159" t="s">
        <v>513</v>
      </c>
      <c r="K117" s="159" t="s">
        <v>514</v>
      </c>
      <c r="L117" s="159" t="s">
        <v>515</v>
      </c>
      <c r="M117" s="159" t="s">
        <v>609</v>
      </c>
      <c r="N117" s="159" t="s">
        <v>610</v>
      </c>
      <c r="O117" s="159">
        <v>2995</v>
      </c>
      <c r="P117" s="159" t="s">
        <v>611</v>
      </c>
      <c r="Q117" s="159" t="s">
        <v>511</v>
      </c>
      <c r="R117" s="159">
        <v>69002</v>
      </c>
      <c r="S117" s="159" t="s">
        <v>518</v>
      </c>
      <c r="T117" s="160" t="s">
        <v>33</v>
      </c>
      <c r="U117" s="159" t="s">
        <v>579</v>
      </c>
      <c r="V117" s="159" t="s">
        <v>549</v>
      </c>
      <c r="W117" s="161">
        <v>200</v>
      </c>
      <c r="X117" s="159"/>
      <c r="Y117" s="159"/>
      <c r="Z117" s="159"/>
      <c r="AA117" s="159" t="s">
        <v>108</v>
      </c>
      <c r="AB117" s="159" t="s">
        <v>566</v>
      </c>
      <c r="AC117" s="159" t="s">
        <v>511</v>
      </c>
      <c r="AD117" s="159">
        <v>69081</v>
      </c>
      <c r="AE117" s="162">
        <v>32.956333000000001</v>
      </c>
      <c r="AF117" s="162">
        <v>15.502262999999999</v>
      </c>
      <c r="AG117" s="162">
        <f t="shared" si="1"/>
        <v>48.458596</v>
      </c>
    </row>
    <row r="118" spans="1:35" x14ac:dyDescent="0.3">
      <c r="A118" s="159" t="s">
        <v>507</v>
      </c>
      <c r="B118" s="160" t="s">
        <v>508</v>
      </c>
      <c r="C118" s="160" t="s">
        <v>509</v>
      </c>
      <c r="D118" s="159" t="s">
        <v>510</v>
      </c>
      <c r="E118" s="159">
        <v>42</v>
      </c>
      <c r="F118" s="159">
        <v>3</v>
      </c>
      <c r="G118" s="159" t="s">
        <v>511</v>
      </c>
      <c r="H118" s="159">
        <v>69081</v>
      </c>
      <c r="I118" s="159" t="s">
        <v>512</v>
      </c>
      <c r="J118" s="159" t="s">
        <v>513</v>
      </c>
      <c r="K118" s="159" t="s">
        <v>514</v>
      </c>
      <c r="L118" s="159" t="s">
        <v>515</v>
      </c>
      <c r="M118" s="159" t="s">
        <v>612</v>
      </c>
      <c r="N118" s="159" t="s">
        <v>568</v>
      </c>
      <c r="O118" s="159">
        <v>38</v>
      </c>
      <c r="P118" s="159">
        <v>10</v>
      </c>
      <c r="Q118" s="159" t="s">
        <v>511</v>
      </c>
      <c r="R118" s="159">
        <v>69002</v>
      </c>
      <c r="S118" s="159" t="s">
        <v>518</v>
      </c>
      <c r="T118" s="160" t="s">
        <v>119</v>
      </c>
      <c r="U118" s="159" t="s">
        <v>548</v>
      </c>
      <c r="V118" s="159" t="s">
        <v>549</v>
      </c>
      <c r="W118" s="161">
        <v>125</v>
      </c>
      <c r="X118" s="159"/>
      <c r="Y118" s="159"/>
      <c r="Z118" s="159"/>
      <c r="AA118" s="159" t="s">
        <v>108</v>
      </c>
      <c r="AB118" s="159" t="s">
        <v>566</v>
      </c>
      <c r="AC118" s="159" t="s">
        <v>511</v>
      </c>
      <c r="AD118" s="159">
        <v>69081</v>
      </c>
      <c r="AE118" s="162">
        <v>7.1051039999999999</v>
      </c>
      <c r="AF118" s="162">
        <v>0</v>
      </c>
      <c r="AG118" s="162">
        <f t="shared" si="1"/>
        <v>7.1051039999999999</v>
      </c>
    </row>
    <row r="119" spans="1:35" x14ac:dyDescent="0.3">
      <c r="A119" s="159" t="s">
        <v>507</v>
      </c>
      <c r="B119" s="160" t="s">
        <v>508</v>
      </c>
      <c r="C119" s="160" t="s">
        <v>509</v>
      </c>
      <c r="D119" s="159" t="s">
        <v>510</v>
      </c>
      <c r="E119" s="159">
        <v>42</v>
      </c>
      <c r="F119" s="159">
        <v>3</v>
      </c>
      <c r="G119" s="159" t="s">
        <v>511</v>
      </c>
      <c r="H119" s="159">
        <v>69081</v>
      </c>
      <c r="I119" s="159" t="s">
        <v>512</v>
      </c>
      <c r="J119" s="159" t="s">
        <v>513</v>
      </c>
      <c r="K119" s="159" t="s">
        <v>514</v>
      </c>
      <c r="L119" s="159" t="s">
        <v>515</v>
      </c>
      <c r="M119" s="159" t="s">
        <v>176</v>
      </c>
      <c r="N119" s="159" t="s">
        <v>613</v>
      </c>
      <c r="O119" s="159" t="s">
        <v>601</v>
      </c>
      <c r="P119" s="159" t="s">
        <v>601</v>
      </c>
      <c r="Q119" s="159" t="s">
        <v>511</v>
      </c>
      <c r="R119" s="159">
        <v>69002</v>
      </c>
      <c r="S119" s="159" t="s">
        <v>518</v>
      </c>
      <c r="T119" s="160" t="s">
        <v>175</v>
      </c>
      <c r="U119" s="159" t="s">
        <v>579</v>
      </c>
      <c r="V119" s="159" t="s">
        <v>549</v>
      </c>
      <c r="W119" s="161">
        <v>25</v>
      </c>
      <c r="X119" s="159"/>
      <c r="Y119" s="159"/>
      <c r="Z119" s="159"/>
      <c r="AA119" s="159" t="s">
        <v>108</v>
      </c>
      <c r="AB119" s="159" t="s">
        <v>566</v>
      </c>
      <c r="AC119" s="159" t="s">
        <v>511</v>
      </c>
      <c r="AD119" s="159">
        <v>69081</v>
      </c>
      <c r="AE119" s="162">
        <v>0.19400000000000001</v>
      </c>
      <c r="AF119" s="162">
        <v>6.2E-2</v>
      </c>
      <c r="AG119" s="162">
        <f t="shared" si="1"/>
        <v>0.25600000000000001</v>
      </c>
    </row>
    <row r="120" spans="1:35" x14ac:dyDescent="0.3">
      <c r="A120" s="159" t="s">
        <v>507</v>
      </c>
      <c r="B120" s="160" t="s">
        <v>508</v>
      </c>
      <c r="C120" s="160" t="s">
        <v>509</v>
      </c>
      <c r="D120" s="159" t="s">
        <v>510</v>
      </c>
      <c r="E120" s="159">
        <v>42</v>
      </c>
      <c r="F120" s="159">
        <v>3</v>
      </c>
      <c r="G120" s="159" t="s">
        <v>511</v>
      </c>
      <c r="H120" s="159">
        <v>69081</v>
      </c>
      <c r="I120" s="159" t="s">
        <v>512</v>
      </c>
      <c r="J120" s="159" t="s">
        <v>513</v>
      </c>
      <c r="K120" s="159" t="s">
        <v>514</v>
      </c>
      <c r="L120" s="159" t="s">
        <v>515</v>
      </c>
      <c r="M120" s="159" t="s">
        <v>162</v>
      </c>
      <c r="N120" s="159" t="s">
        <v>614</v>
      </c>
      <c r="O120" s="159">
        <v>499</v>
      </c>
      <c r="P120" s="159">
        <v>11</v>
      </c>
      <c r="Q120" s="159" t="s">
        <v>511</v>
      </c>
      <c r="R120" s="159">
        <v>69002</v>
      </c>
      <c r="S120" s="159" t="s">
        <v>518</v>
      </c>
      <c r="T120" s="160" t="s">
        <v>161</v>
      </c>
      <c r="U120" s="159" t="s">
        <v>548</v>
      </c>
      <c r="V120" s="159" t="s">
        <v>549</v>
      </c>
      <c r="W120" s="161">
        <v>25</v>
      </c>
      <c r="X120" s="159"/>
      <c r="Y120" s="159"/>
      <c r="Z120" s="159"/>
      <c r="AA120" s="159" t="s">
        <v>108</v>
      </c>
      <c r="AB120" s="159" t="s">
        <v>566</v>
      </c>
      <c r="AC120" s="159" t="s">
        <v>511</v>
      </c>
      <c r="AD120" s="159">
        <v>69081</v>
      </c>
      <c r="AE120" s="162">
        <v>0.88892099999999996</v>
      </c>
      <c r="AF120" s="162">
        <v>0</v>
      </c>
      <c r="AG120" s="162">
        <f t="shared" si="1"/>
        <v>0.88892099999999996</v>
      </c>
    </row>
    <row r="121" spans="1:35" x14ac:dyDescent="0.3">
      <c r="A121" s="159" t="s">
        <v>507</v>
      </c>
      <c r="B121" s="160" t="s">
        <v>508</v>
      </c>
      <c r="C121" s="160" t="s">
        <v>509</v>
      </c>
      <c r="D121" s="159" t="s">
        <v>510</v>
      </c>
      <c r="E121" s="159">
        <v>42</v>
      </c>
      <c r="F121" s="159">
        <v>3</v>
      </c>
      <c r="G121" s="159" t="s">
        <v>511</v>
      </c>
      <c r="H121" s="159">
        <v>69081</v>
      </c>
      <c r="I121" s="159" t="s">
        <v>512</v>
      </c>
      <c r="J121" s="159" t="s">
        <v>513</v>
      </c>
      <c r="K121" s="159" t="s">
        <v>514</v>
      </c>
      <c r="L121" s="159" t="s">
        <v>515</v>
      </c>
      <c r="M121" s="159" t="s">
        <v>228</v>
      </c>
      <c r="N121" s="159" t="s">
        <v>615</v>
      </c>
      <c r="O121" s="159">
        <v>2238</v>
      </c>
      <c r="P121" s="159">
        <v>4</v>
      </c>
      <c r="Q121" s="159" t="s">
        <v>511</v>
      </c>
      <c r="R121" s="159">
        <v>69002</v>
      </c>
      <c r="S121" s="159" t="s">
        <v>518</v>
      </c>
      <c r="T121" s="160" t="s">
        <v>227</v>
      </c>
      <c r="U121" s="159" t="s">
        <v>519</v>
      </c>
      <c r="V121" s="159" t="s">
        <v>520</v>
      </c>
      <c r="W121" s="161">
        <v>10</v>
      </c>
      <c r="X121" s="159"/>
      <c r="Y121" s="159"/>
      <c r="Z121" s="159"/>
      <c r="AA121" s="159" t="s">
        <v>108</v>
      </c>
      <c r="AB121" s="159" t="s">
        <v>566</v>
      </c>
      <c r="AC121" s="159" t="s">
        <v>511</v>
      </c>
      <c r="AD121" s="159">
        <v>69081</v>
      </c>
      <c r="AE121" s="162">
        <v>2.6310000000000001E-3</v>
      </c>
      <c r="AF121" s="162">
        <v>0</v>
      </c>
      <c r="AG121" s="162">
        <f t="shared" si="1"/>
        <v>2.6310000000000001E-3</v>
      </c>
    </row>
    <row r="122" spans="1:35" x14ac:dyDescent="0.3">
      <c r="A122" s="159" t="s">
        <v>507</v>
      </c>
      <c r="B122" s="160" t="s">
        <v>508</v>
      </c>
      <c r="C122" s="160" t="s">
        <v>509</v>
      </c>
      <c r="D122" s="159" t="s">
        <v>510</v>
      </c>
      <c r="E122" s="159">
        <v>42</v>
      </c>
      <c r="F122" s="159">
        <v>3</v>
      </c>
      <c r="G122" s="159" t="s">
        <v>511</v>
      </c>
      <c r="H122" s="159">
        <v>69081</v>
      </c>
      <c r="I122" s="159" t="s">
        <v>512</v>
      </c>
      <c r="J122" s="159" t="s">
        <v>513</v>
      </c>
      <c r="K122" s="159" t="s">
        <v>514</v>
      </c>
      <c r="L122" s="159" t="s">
        <v>515</v>
      </c>
      <c r="M122" s="159" t="s">
        <v>192</v>
      </c>
      <c r="N122" s="159" t="s">
        <v>616</v>
      </c>
      <c r="O122" s="159">
        <v>1284</v>
      </c>
      <c r="P122" s="159">
        <v>8</v>
      </c>
      <c r="Q122" s="159" t="s">
        <v>511</v>
      </c>
      <c r="R122" s="159">
        <v>69002</v>
      </c>
      <c r="S122" s="159" t="s">
        <v>518</v>
      </c>
      <c r="T122" s="160" t="s">
        <v>191</v>
      </c>
      <c r="U122" s="159" t="s">
        <v>519</v>
      </c>
      <c r="V122" s="159" t="s">
        <v>549</v>
      </c>
      <c r="W122" s="161">
        <v>25</v>
      </c>
      <c r="X122" s="159"/>
      <c r="Y122" s="159"/>
      <c r="Z122" s="159"/>
      <c r="AA122" s="159" t="s">
        <v>108</v>
      </c>
      <c r="AB122" s="159" t="s">
        <v>566</v>
      </c>
      <c r="AC122" s="159" t="s">
        <v>511</v>
      </c>
      <c r="AD122" s="159">
        <v>69081</v>
      </c>
      <c r="AE122" s="162">
        <v>0.16916</v>
      </c>
      <c r="AF122" s="162">
        <v>0</v>
      </c>
      <c r="AG122" s="162">
        <f t="shared" si="1"/>
        <v>0.16916</v>
      </c>
    </row>
    <row r="123" spans="1:35" x14ac:dyDescent="0.3">
      <c r="A123" s="159" t="s">
        <v>507</v>
      </c>
      <c r="B123" s="160" t="s">
        <v>508</v>
      </c>
      <c r="C123" s="160" t="s">
        <v>509</v>
      </c>
      <c r="D123" s="159" t="s">
        <v>510</v>
      </c>
      <c r="E123" s="159">
        <v>42</v>
      </c>
      <c r="F123" s="159">
        <v>3</v>
      </c>
      <c r="G123" s="159" t="s">
        <v>511</v>
      </c>
      <c r="H123" s="159">
        <v>69081</v>
      </c>
      <c r="I123" s="159" t="s">
        <v>512</v>
      </c>
      <c r="J123" s="159" t="s">
        <v>513</v>
      </c>
      <c r="K123" s="159" t="s">
        <v>514</v>
      </c>
      <c r="L123" s="159" t="s">
        <v>515</v>
      </c>
      <c r="M123" s="159" t="s">
        <v>220</v>
      </c>
      <c r="N123" s="159" t="s">
        <v>614</v>
      </c>
      <c r="O123" s="159">
        <v>449</v>
      </c>
      <c r="P123" s="159">
        <v>11</v>
      </c>
      <c r="Q123" s="159" t="s">
        <v>511</v>
      </c>
      <c r="R123" s="159">
        <v>69002</v>
      </c>
      <c r="S123" s="159" t="s">
        <v>518</v>
      </c>
      <c r="T123" s="160" t="s">
        <v>219</v>
      </c>
      <c r="U123" s="159" t="s">
        <v>519</v>
      </c>
      <c r="V123" s="159" t="s">
        <v>520</v>
      </c>
      <c r="W123" s="161">
        <v>10</v>
      </c>
      <c r="X123" s="159"/>
      <c r="Y123" s="159"/>
      <c r="Z123" s="159"/>
      <c r="AA123" s="159" t="s">
        <v>108</v>
      </c>
      <c r="AB123" s="159" t="s">
        <v>566</v>
      </c>
      <c r="AC123" s="159" t="s">
        <v>511</v>
      </c>
      <c r="AD123" s="159">
        <v>69081</v>
      </c>
      <c r="AE123" s="162">
        <v>1.6277E-2</v>
      </c>
      <c r="AF123" s="162">
        <v>0</v>
      </c>
      <c r="AG123" s="162">
        <f t="shared" si="1"/>
        <v>1.6277E-2</v>
      </c>
    </row>
    <row r="124" spans="1:35" x14ac:dyDescent="0.3">
      <c r="A124" s="159" t="s">
        <v>507</v>
      </c>
      <c r="B124" s="160" t="s">
        <v>508</v>
      </c>
      <c r="C124" s="160" t="s">
        <v>509</v>
      </c>
      <c r="D124" s="159" t="s">
        <v>510</v>
      </c>
      <c r="E124" s="159">
        <v>42</v>
      </c>
      <c r="F124" s="159">
        <v>3</v>
      </c>
      <c r="G124" s="159" t="s">
        <v>511</v>
      </c>
      <c r="H124" s="159">
        <v>69081</v>
      </c>
      <c r="I124" s="159" t="s">
        <v>512</v>
      </c>
      <c r="J124" s="159" t="s">
        <v>513</v>
      </c>
      <c r="K124" s="159" t="s">
        <v>514</v>
      </c>
      <c r="L124" s="159" t="s">
        <v>515</v>
      </c>
      <c r="M124" s="159" t="s">
        <v>222</v>
      </c>
      <c r="N124" s="159" t="s">
        <v>591</v>
      </c>
      <c r="O124" s="159">
        <v>588</v>
      </c>
      <c r="P124" s="159">
        <v>2</v>
      </c>
      <c r="Q124" s="159" t="s">
        <v>511</v>
      </c>
      <c r="R124" s="159">
        <v>69002</v>
      </c>
      <c r="S124" s="159" t="s">
        <v>518</v>
      </c>
      <c r="T124" s="160" t="s">
        <v>221</v>
      </c>
      <c r="U124" s="159" t="s">
        <v>519</v>
      </c>
      <c r="V124" s="159" t="s">
        <v>520</v>
      </c>
      <c r="W124" s="161">
        <v>16</v>
      </c>
      <c r="X124" s="159"/>
      <c r="Y124" s="159"/>
      <c r="Z124" s="159"/>
      <c r="AA124" s="159" t="s">
        <v>108</v>
      </c>
      <c r="AB124" s="159" t="s">
        <v>566</v>
      </c>
      <c r="AC124" s="159" t="s">
        <v>511</v>
      </c>
      <c r="AD124" s="159">
        <v>69081</v>
      </c>
      <c r="AE124" s="162">
        <v>1.3925999999999999E-2</v>
      </c>
      <c r="AF124" s="162">
        <v>0</v>
      </c>
      <c r="AG124" s="162">
        <f t="shared" si="1"/>
        <v>1.3925999999999999E-2</v>
      </c>
    </row>
    <row r="125" spans="1:35" x14ac:dyDescent="0.3">
      <c r="A125" s="159" t="s">
        <v>507</v>
      </c>
      <c r="B125" s="160" t="s">
        <v>508</v>
      </c>
      <c r="C125" s="160" t="s">
        <v>509</v>
      </c>
      <c r="D125" s="159" t="s">
        <v>510</v>
      </c>
      <c r="E125" s="159">
        <v>42</v>
      </c>
      <c r="F125" s="159">
        <v>3</v>
      </c>
      <c r="G125" s="159" t="s">
        <v>511</v>
      </c>
      <c r="H125" s="159">
        <v>69081</v>
      </c>
      <c r="I125" s="159" t="s">
        <v>512</v>
      </c>
      <c r="J125" s="159" t="s">
        <v>513</v>
      </c>
      <c r="K125" s="159" t="s">
        <v>514</v>
      </c>
      <c r="L125" s="159" t="s">
        <v>515</v>
      </c>
      <c r="M125" s="159" t="s">
        <v>214</v>
      </c>
      <c r="N125" s="159" t="s">
        <v>617</v>
      </c>
      <c r="O125" s="159">
        <v>1133</v>
      </c>
      <c r="P125" s="159">
        <v>19</v>
      </c>
      <c r="Q125" s="159" t="s">
        <v>511</v>
      </c>
      <c r="R125" s="159">
        <v>69002</v>
      </c>
      <c r="S125" s="159" t="s">
        <v>518</v>
      </c>
      <c r="T125" s="160" t="s">
        <v>213</v>
      </c>
      <c r="U125" s="159" t="s">
        <v>519</v>
      </c>
      <c r="V125" s="159" t="s">
        <v>549</v>
      </c>
      <c r="W125" s="161">
        <v>25</v>
      </c>
      <c r="X125" s="159"/>
      <c r="Y125" s="159"/>
      <c r="Z125" s="159"/>
      <c r="AA125" s="159" t="s">
        <v>108</v>
      </c>
      <c r="AB125" s="159" t="s">
        <v>566</v>
      </c>
      <c r="AC125" s="159" t="s">
        <v>511</v>
      </c>
      <c r="AD125" s="159">
        <v>69081</v>
      </c>
      <c r="AE125" s="162">
        <v>7.0484000000000005E-2</v>
      </c>
      <c r="AF125" s="162">
        <v>0</v>
      </c>
      <c r="AG125" s="162">
        <f t="shared" si="1"/>
        <v>7.0484000000000005E-2</v>
      </c>
    </row>
    <row r="126" spans="1:35" x14ac:dyDescent="0.3">
      <c r="A126" s="159" t="s">
        <v>507</v>
      </c>
      <c r="B126" s="160" t="s">
        <v>508</v>
      </c>
      <c r="C126" s="160" t="s">
        <v>509</v>
      </c>
      <c r="D126" s="159" t="s">
        <v>510</v>
      </c>
      <c r="E126" s="159">
        <v>42</v>
      </c>
      <c r="F126" s="159">
        <v>3</v>
      </c>
      <c r="G126" s="159" t="s">
        <v>511</v>
      </c>
      <c r="H126" s="159">
        <v>69081</v>
      </c>
      <c r="I126" s="159" t="s">
        <v>512</v>
      </c>
      <c r="J126" s="159" t="s">
        <v>513</v>
      </c>
      <c r="K126" s="159" t="s">
        <v>514</v>
      </c>
      <c r="L126" s="159" t="s">
        <v>515</v>
      </c>
      <c r="M126" s="159" t="s">
        <v>182</v>
      </c>
      <c r="N126" s="159" t="s">
        <v>617</v>
      </c>
      <c r="O126" s="159">
        <v>1137</v>
      </c>
      <c r="P126" s="159">
        <v>20</v>
      </c>
      <c r="Q126" s="159" t="s">
        <v>511</v>
      </c>
      <c r="R126" s="159">
        <v>69002</v>
      </c>
      <c r="S126" s="159" t="s">
        <v>518</v>
      </c>
      <c r="T126" s="160" t="s">
        <v>181</v>
      </c>
      <c r="U126" s="159" t="s">
        <v>519</v>
      </c>
      <c r="V126" s="159" t="s">
        <v>549</v>
      </c>
      <c r="W126" s="161">
        <v>25</v>
      </c>
      <c r="X126" s="159"/>
      <c r="Y126" s="159"/>
      <c r="Z126" s="159"/>
      <c r="AA126" s="159" t="s">
        <v>108</v>
      </c>
      <c r="AB126" s="159" t="s">
        <v>566</v>
      </c>
      <c r="AC126" s="159" t="s">
        <v>511</v>
      </c>
      <c r="AD126" s="159">
        <v>69081</v>
      </c>
      <c r="AE126" s="162">
        <v>0.197354</v>
      </c>
      <c r="AF126" s="162">
        <v>0</v>
      </c>
      <c r="AG126" s="162">
        <f t="shared" si="1"/>
        <v>0.197354</v>
      </c>
    </row>
    <row r="127" spans="1:35" x14ac:dyDescent="0.3">
      <c r="A127" s="159" t="s">
        <v>507</v>
      </c>
      <c r="B127" s="160" t="s">
        <v>508</v>
      </c>
      <c r="C127" s="160" t="s">
        <v>509</v>
      </c>
      <c r="D127" s="159" t="s">
        <v>510</v>
      </c>
      <c r="E127" s="159">
        <v>42</v>
      </c>
      <c r="F127" s="159">
        <v>3</v>
      </c>
      <c r="G127" s="159" t="s">
        <v>511</v>
      </c>
      <c r="H127" s="159">
        <v>69081</v>
      </c>
      <c r="I127" s="159" t="s">
        <v>512</v>
      </c>
      <c r="J127" s="159" t="s">
        <v>513</v>
      </c>
      <c r="K127" s="159" t="s">
        <v>514</v>
      </c>
      <c r="L127" s="159" t="s">
        <v>515</v>
      </c>
      <c r="M127" s="159" t="s">
        <v>212</v>
      </c>
      <c r="N127" s="159" t="s">
        <v>617</v>
      </c>
      <c r="O127" s="159">
        <v>1111</v>
      </c>
      <c r="P127" s="159">
        <v>21</v>
      </c>
      <c r="Q127" s="159" t="s">
        <v>511</v>
      </c>
      <c r="R127" s="159">
        <v>69002</v>
      </c>
      <c r="S127" s="159" t="s">
        <v>518</v>
      </c>
      <c r="T127" s="160" t="s">
        <v>211</v>
      </c>
      <c r="U127" s="159" t="s">
        <v>519</v>
      </c>
      <c r="V127" s="159" t="s">
        <v>549</v>
      </c>
      <c r="W127" s="161">
        <v>25</v>
      </c>
      <c r="X127" s="159"/>
      <c r="Y127" s="159"/>
      <c r="Z127" s="159"/>
      <c r="AA127" s="159" t="s">
        <v>108</v>
      </c>
      <c r="AB127" s="159" t="s">
        <v>566</v>
      </c>
      <c r="AC127" s="159" t="s">
        <v>511</v>
      </c>
      <c r="AD127" s="159">
        <v>69081</v>
      </c>
      <c r="AE127" s="162">
        <v>7.6121999999999995E-2</v>
      </c>
      <c r="AF127" s="162">
        <v>0</v>
      </c>
      <c r="AG127" s="162">
        <f t="shared" si="1"/>
        <v>7.6121999999999995E-2</v>
      </c>
    </row>
    <row r="128" spans="1:35" x14ac:dyDescent="0.3">
      <c r="A128" s="159" t="s">
        <v>507</v>
      </c>
      <c r="B128" s="160" t="s">
        <v>508</v>
      </c>
      <c r="C128" s="160" t="s">
        <v>509</v>
      </c>
      <c r="D128" s="159" t="s">
        <v>510</v>
      </c>
      <c r="E128" s="159">
        <v>42</v>
      </c>
      <c r="F128" s="159">
        <v>3</v>
      </c>
      <c r="G128" s="159" t="s">
        <v>511</v>
      </c>
      <c r="H128" s="159">
        <v>69081</v>
      </c>
      <c r="I128" s="159" t="s">
        <v>512</v>
      </c>
      <c r="J128" s="159" t="s">
        <v>513</v>
      </c>
      <c r="K128" s="159" t="s">
        <v>514</v>
      </c>
      <c r="L128" s="159" t="s">
        <v>515</v>
      </c>
      <c r="M128" s="159" t="s">
        <v>218</v>
      </c>
      <c r="N128" s="159" t="s">
        <v>597</v>
      </c>
      <c r="O128" s="159">
        <v>1217</v>
      </c>
      <c r="P128" s="159">
        <v>17</v>
      </c>
      <c r="Q128" s="159" t="s">
        <v>511</v>
      </c>
      <c r="R128" s="159">
        <v>69002</v>
      </c>
      <c r="S128" s="159" t="s">
        <v>518</v>
      </c>
      <c r="T128" s="160" t="s">
        <v>217</v>
      </c>
      <c r="U128" s="159" t="s">
        <v>519</v>
      </c>
      <c r="V128" s="159" t="s">
        <v>520</v>
      </c>
      <c r="W128" s="161">
        <v>10</v>
      </c>
      <c r="X128" s="159"/>
      <c r="Y128" s="159"/>
      <c r="Z128" s="159"/>
      <c r="AA128" s="159" t="s">
        <v>108</v>
      </c>
      <c r="AB128" s="159" t="s">
        <v>566</v>
      </c>
      <c r="AC128" s="159" t="s">
        <v>511</v>
      </c>
      <c r="AD128" s="159">
        <v>69081</v>
      </c>
      <c r="AE128" s="162">
        <v>2.3E-2</v>
      </c>
      <c r="AF128" s="162">
        <v>0</v>
      </c>
      <c r="AG128" s="162">
        <f t="shared" si="1"/>
        <v>2.3E-2</v>
      </c>
    </row>
    <row r="129" spans="1:37" x14ac:dyDescent="0.3">
      <c r="A129" s="159" t="s">
        <v>507</v>
      </c>
      <c r="B129" s="160" t="s">
        <v>508</v>
      </c>
      <c r="C129" s="160" t="s">
        <v>509</v>
      </c>
      <c r="D129" s="159" t="s">
        <v>510</v>
      </c>
      <c r="E129" s="159">
        <v>42</v>
      </c>
      <c r="F129" s="159">
        <v>3</v>
      </c>
      <c r="G129" s="159" t="s">
        <v>511</v>
      </c>
      <c r="H129" s="159">
        <v>69081</v>
      </c>
      <c r="I129" s="159" t="s">
        <v>512</v>
      </c>
      <c r="J129" s="159" t="s">
        <v>513</v>
      </c>
      <c r="K129" s="159" t="s">
        <v>514</v>
      </c>
      <c r="L129" s="159" t="s">
        <v>515</v>
      </c>
      <c r="M129" s="159" t="s">
        <v>216</v>
      </c>
      <c r="N129" s="159" t="s">
        <v>618</v>
      </c>
      <c r="O129" s="159">
        <v>1010</v>
      </c>
      <c r="P129" s="159">
        <v>27</v>
      </c>
      <c r="Q129" s="159" t="s">
        <v>511</v>
      </c>
      <c r="R129" s="159">
        <v>69002</v>
      </c>
      <c r="S129" s="159" t="s">
        <v>518</v>
      </c>
      <c r="T129" s="160" t="s">
        <v>215</v>
      </c>
      <c r="U129" s="159" t="s">
        <v>519</v>
      </c>
      <c r="V129" s="159" t="s">
        <v>520</v>
      </c>
      <c r="W129" s="161">
        <v>20</v>
      </c>
      <c r="X129" s="159"/>
      <c r="Y129" s="159"/>
      <c r="Z129" s="159"/>
      <c r="AA129" s="159" t="s">
        <v>108</v>
      </c>
      <c r="AB129" s="159" t="s">
        <v>566</v>
      </c>
      <c r="AC129" s="159" t="s">
        <v>511</v>
      </c>
      <c r="AD129" s="159">
        <v>69081</v>
      </c>
      <c r="AE129" s="162">
        <v>6.4281000000000005E-2</v>
      </c>
      <c r="AF129" s="162">
        <v>0</v>
      </c>
      <c r="AG129" s="162">
        <f t="shared" si="1"/>
        <v>6.4281000000000005E-2</v>
      </c>
    </row>
    <row r="130" spans="1:37" ht="100.8" x14ac:dyDescent="0.3">
      <c r="A130" s="165" t="s">
        <v>507</v>
      </c>
      <c r="B130" s="166" t="s">
        <v>508</v>
      </c>
      <c r="C130" s="166" t="s">
        <v>509</v>
      </c>
      <c r="D130" s="165" t="s">
        <v>510</v>
      </c>
      <c r="E130" s="165">
        <v>42</v>
      </c>
      <c r="F130" s="165">
        <v>3</v>
      </c>
      <c r="G130" s="165" t="s">
        <v>511</v>
      </c>
      <c r="H130" s="165">
        <v>69081</v>
      </c>
      <c r="I130" s="165" t="s">
        <v>512</v>
      </c>
      <c r="J130" s="165" t="s">
        <v>513</v>
      </c>
      <c r="K130" s="165" t="s">
        <v>514</v>
      </c>
      <c r="L130" s="165" t="s">
        <v>515</v>
      </c>
      <c r="M130" s="165" t="s">
        <v>168</v>
      </c>
      <c r="N130" s="165" t="s">
        <v>614</v>
      </c>
      <c r="O130" s="165">
        <v>499</v>
      </c>
      <c r="P130" s="165">
        <v>11</v>
      </c>
      <c r="Q130" s="165" t="s">
        <v>511</v>
      </c>
      <c r="R130" s="165">
        <v>69002</v>
      </c>
      <c r="S130" s="165" t="s">
        <v>518</v>
      </c>
      <c r="T130" s="166" t="s">
        <v>167</v>
      </c>
      <c r="U130" s="165" t="s">
        <v>548</v>
      </c>
      <c r="V130" s="165" t="s">
        <v>549</v>
      </c>
      <c r="W130" s="167">
        <v>25</v>
      </c>
      <c r="X130" s="165"/>
      <c r="Y130" s="165"/>
      <c r="Z130" s="165"/>
      <c r="AA130" s="165" t="s">
        <v>108</v>
      </c>
      <c r="AB130" s="165" t="s">
        <v>566</v>
      </c>
      <c r="AC130" s="165" t="s">
        <v>511</v>
      </c>
      <c r="AD130" s="165">
        <v>69081</v>
      </c>
      <c r="AE130" s="168">
        <v>0.399698</v>
      </c>
      <c r="AF130" s="168">
        <v>0</v>
      </c>
      <c r="AG130" s="168">
        <f t="shared" si="1"/>
        <v>0.399698</v>
      </c>
      <c r="AI130" t="s">
        <v>619</v>
      </c>
      <c r="AK130" s="169" t="s">
        <v>620</v>
      </c>
    </row>
    <row r="131" spans="1:37" x14ac:dyDescent="0.3">
      <c r="A131" s="159" t="s">
        <v>507</v>
      </c>
      <c r="B131" s="160" t="s">
        <v>508</v>
      </c>
      <c r="C131" s="160" t="s">
        <v>509</v>
      </c>
      <c r="D131" s="159" t="s">
        <v>510</v>
      </c>
      <c r="E131" s="159">
        <v>42</v>
      </c>
      <c r="F131" s="159">
        <v>3</v>
      </c>
      <c r="G131" s="159" t="s">
        <v>511</v>
      </c>
      <c r="H131" s="159">
        <v>69081</v>
      </c>
      <c r="I131" s="159" t="s">
        <v>512</v>
      </c>
      <c r="J131" s="159" t="s">
        <v>513</v>
      </c>
      <c r="K131" s="159" t="s">
        <v>514</v>
      </c>
      <c r="L131" s="159" t="s">
        <v>515</v>
      </c>
      <c r="M131" s="159" t="s">
        <v>125</v>
      </c>
      <c r="N131" s="159" t="s">
        <v>621</v>
      </c>
      <c r="O131" s="159">
        <v>57</v>
      </c>
      <c r="P131" s="159">
        <v>39</v>
      </c>
      <c r="Q131" s="159" t="s">
        <v>552</v>
      </c>
      <c r="R131" s="159">
        <v>69141</v>
      </c>
      <c r="S131" s="159" t="s">
        <v>518</v>
      </c>
      <c r="T131" s="160" t="s">
        <v>124</v>
      </c>
      <c r="U131" s="159" t="s">
        <v>548</v>
      </c>
      <c r="V131" s="159" t="s">
        <v>549</v>
      </c>
      <c r="W131" s="161">
        <v>28</v>
      </c>
      <c r="X131" s="159"/>
      <c r="Y131" s="159"/>
      <c r="Z131" s="159"/>
      <c r="AA131" s="159" t="s">
        <v>108</v>
      </c>
      <c r="AB131" s="159" t="s">
        <v>566</v>
      </c>
      <c r="AC131" s="159" t="s">
        <v>511</v>
      </c>
      <c r="AD131" s="159">
        <v>69081</v>
      </c>
      <c r="AE131" s="162">
        <v>6.5</v>
      </c>
      <c r="AF131" s="162">
        <v>0</v>
      </c>
      <c r="AG131" s="162">
        <f t="shared" si="1"/>
        <v>6.5</v>
      </c>
    </row>
    <row r="132" spans="1:37" x14ac:dyDescent="0.3">
      <c r="A132" s="159" t="s">
        <v>507</v>
      </c>
      <c r="B132" s="160" t="s">
        <v>508</v>
      </c>
      <c r="C132" s="160" t="s">
        <v>509</v>
      </c>
      <c r="D132" s="159" t="s">
        <v>510</v>
      </c>
      <c r="E132" s="159">
        <v>42</v>
      </c>
      <c r="F132" s="159">
        <v>3</v>
      </c>
      <c r="G132" s="159" t="s">
        <v>511</v>
      </c>
      <c r="H132" s="159">
        <v>69081</v>
      </c>
      <c r="I132" s="159" t="s">
        <v>512</v>
      </c>
      <c r="J132" s="159" t="s">
        <v>513</v>
      </c>
      <c r="K132" s="159" t="s">
        <v>514</v>
      </c>
      <c r="L132" s="159" t="s">
        <v>515</v>
      </c>
      <c r="M132" s="159" t="s">
        <v>180</v>
      </c>
      <c r="N132" s="159" t="s">
        <v>622</v>
      </c>
      <c r="O132" s="159">
        <v>3047</v>
      </c>
      <c r="P132" s="159" t="s">
        <v>623</v>
      </c>
      <c r="Q132" s="159" t="s">
        <v>511</v>
      </c>
      <c r="R132" s="159">
        <v>69002</v>
      </c>
      <c r="S132" s="159" t="s">
        <v>518</v>
      </c>
      <c r="T132" s="160" t="s">
        <v>179</v>
      </c>
      <c r="U132" s="159" t="s">
        <v>548</v>
      </c>
      <c r="V132" s="159" t="s">
        <v>549</v>
      </c>
      <c r="W132" s="161">
        <v>50</v>
      </c>
      <c r="X132" s="159"/>
      <c r="Y132" s="159"/>
      <c r="Z132" s="159"/>
      <c r="AA132" s="159" t="s">
        <v>108</v>
      </c>
      <c r="AB132" s="159" t="s">
        <v>566</v>
      </c>
      <c r="AC132" s="159" t="s">
        <v>511</v>
      </c>
      <c r="AD132" s="159">
        <v>69081</v>
      </c>
      <c r="AE132" s="162">
        <v>0.21649199999999999</v>
      </c>
      <c r="AF132" s="162">
        <v>0</v>
      </c>
      <c r="AG132" s="162">
        <f t="shared" si="1"/>
        <v>0.21649199999999999</v>
      </c>
    </row>
    <row r="133" spans="1:37" x14ac:dyDescent="0.3">
      <c r="A133" s="159" t="s">
        <v>507</v>
      </c>
      <c r="B133" s="160" t="s">
        <v>508</v>
      </c>
      <c r="C133" s="160" t="s">
        <v>509</v>
      </c>
      <c r="D133" s="159" t="s">
        <v>510</v>
      </c>
      <c r="E133" s="159">
        <v>42</v>
      </c>
      <c r="F133" s="159">
        <v>3</v>
      </c>
      <c r="G133" s="159" t="s">
        <v>511</v>
      </c>
      <c r="H133" s="159">
        <v>69081</v>
      </c>
      <c r="I133" s="159" t="s">
        <v>512</v>
      </c>
      <c r="J133" s="159" t="s">
        <v>513</v>
      </c>
      <c r="K133" s="159" t="s">
        <v>514</v>
      </c>
      <c r="L133" s="159" t="s">
        <v>515</v>
      </c>
      <c r="M133" s="159" t="s">
        <v>226</v>
      </c>
      <c r="N133" s="159" t="s">
        <v>624</v>
      </c>
      <c r="O133" s="159">
        <v>1371</v>
      </c>
      <c r="P133" s="159">
        <v>2</v>
      </c>
      <c r="Q133" s="159" t="s">
        <v>511</v>
      </c>
      <c r="R133" s="159">
        <v>69002</v>
      </c>
      <c r="S133" s="159" t="s">
        <v>518</v>
      </c>
      <c r="T133" s="160" t="s">
        <v>225</v>
      </c>
      <c r="U133" s="159" t="s">
        <v>519</v>
      </c>
      <c r="V133" s="159" t="s">
        <v>520</v>
      </c>
      <c r="W133" s="161">
        <v>16</v>
      </c>
      <c r="X133" s="159"/>
      <c r="Y133" s="159"/>
      <c r="Z133" s="159"/>
      <c r="AA133" s="159" t="s">
        <v>108</v>
      </c>
      <c r="AB133" s="159" t="s">
        <v>566</v>
      </c>
      <c r="AC133" s="159" t="s">
        <v>511</v>
      </c>
      <c r="AD133" s="159">
        <v>69081</v>
      </c>
      <c r="AE133" s="162">
        <v>3.8639999999999998E-3</v>
      </c>
      <c r="AF133" s="162">
        <v>0</v>
      </c>
      <c r="AG133" s="162">
        <f t="shared" si="1"/>
        <v>3.8639999999999998E-3</v>
      </c>
    </row>
    <row r="134" spans="1:37" x14ac:dyDescent="0.3">
      <c r="A134" s="159" t="s">
        <v>507</v>
      </c>
      <c r="B134" s="160" t="s">
        <v>508</v>
      </c>
      <c r="C134" s="160" t="s">
        <v>509</v>
      </c>
      <c r="D134" s="159" t="s">
        <v>510</v>
      </c>
      <c r="E134" s="159">
        <v>42</v>
      </c>
      <c r="F134" s="159">
        <v>3</v>
      </c>
      <c r="G134" s="159" t="s">
        <v>511</v>
      </c>
      <c r="H134" s="159">
        <v>69081</v>
      </c>
      <c r="I134" s="159" t="s">
        <v>512</v>
      </c>
      <c r="J134" s="159" t="s">
        <v>513</v>
      </c>
      <c r="K134" s="159" t="s">
        <v>514</v>
      </c>
      <c r="L134" s="159" t="s">
        <v>515</v>
      </c>
      <c r="M134" s="159" t="s">
        <v>204</v>
      </c>
      <c r="N134" s="159" t="s">
        <v>537</v>
      </c>
      <c r="O134" s="159">
        <v>311</v>
      </c>
      <c r="P134" s="159">
        <v>20</v>
      </c>
      <c r="Q134" s="159" t="s">
        <v>511</v>
      </c>
      <c r="R134" s="159">
        <v>69002</v>
      </c>
      <c r="S134" s="159" t="s">
        <v>518</v>
      </c>
      <c r="T134" s="160" t="s">
        <v>203</v>
      </c>
      <c r="U134" s="159" t="s">
        <v>519</v>
      </c>
      <c r="V134" s="159" t="s">
        <v>549</v>
      </c>
      <c r="W134" s="161">
        <v>16</v>
      </c>
      <c r="X134" s="159"/>
      <c r="Y134" s="159"/>
      <c r="Z134" s="159"/>
      <c r="AA134" s="159" t="s">
        <v>108</v>
      </c>
      <c r="AB134" s="159" t="s">
        <v>566</v>
      </c>
      <c r="AC134" s="159" t="s">
        <v>511</v>
      </c>
      <c r="AD134" s="159">
        <v>69081</v>
      </c>
      <c r="AE134" s="162">
        <v>0.12471599999999999</v>
      </c>
      <c r="AF134" s="162">
        <v>0</v>
      </c>
      <c r="AG134" s="162">
        <f t="shared" ref="AG134:AG145" si="2">AF134+AE134</f>
        <v>0.12471599999999999</v>
      </c>
    </row>
    <row r="135" spans="1:37" x14ac:dyDescent="0.3">
      <c r="A135" s="159" t="s">
        <v>507</v>
      </c>
      <c r="B135" s="160" t="s">
        <v>508</v>
      </c>
      <c r="C135" s="160" t="s">
        <v>509</v>
      </c>
      <c r="D135" s="159" t="s">
        <v>510</v>
      </c>
      <c r="E135" s="159">
        <v>42</v>
      </c>
      <c r="F135" s="159">
        <v>3</v>
      </c>
      <c r="G135" s="159" t="s">
        <v>511</v>
      </c>
      <c r="H135" s="159">
        <v>69081</v>
      </c>
      <c r="I135" s="159" t="s">
        <v>512</v>
      </c>
      <c r="J135" s="159" t="s">
        <v>513</v>
      </c>
      <c r="K135" s="159" t="s">
        <v>514</v>
      </c>
      <c r="L135" s="159" t="s">
        <v>515</v>
      </c>
      <c r="M135" s="159" t="s">
        <v>170</v>
      </c>
      <c r="N135" s="159" t="s">
        <v>603</v>
      </c>
      <c r="O135" s="159" t="s">
        <v>601</v>
      </c>
      <c r="P135" s="159" t="s">
        <v>601</v>
      </c>
      <c r="Q135" s="159" t="s">
        <v>511</v>
      </c>
      <c r="R135" s="159">
        <v>69002</v>
      </c>
      <c r="S135" s="159" t="s">
        <v>518</v>
      </c>
      <c r="T135" s="160" t="s">
        <v>169</v>
      </c>
      <c r="U135" s="159" t="s">
        <v>579</v>
      </c>
      <c r="V135" s="159" t="s">
        <v>549</v>
      </c>
      <c r="W135" s="161">
        <v>63</v>
      </c>
      <c r="X135" s="159"/>
      <c r="Y135" s="159"/>
      <c r="Z135" s="159"/>
      <c r="AA135" s="159" t="s">
        <v>108</v>
      </c>
      <c r="AB135" s="159" t="s">
        <v>566</v>
      </c>
      <c r="AC135" s="159" t="s">
        <v>511</v>
      </c>
      <c r="AD135" s="159">
        <v>69081</v>
      </c>
      <c r="AE135" s="162">
        <v>0.25703599999999999</v>
      </c>
      <c r="AF135" s="162">
        <v>0.101913</v>
      </c>
      <c r="AG135" s="162">
        <f t="shared" si="2"/>
        <v>0.35894899999999996</v>
      </c>
    </row>
    <row r="136" spans="1:37" ht="86.4" x14ac:dyDescent="0.3">
      <c r="A136" s="165" t="s">
        <v>507</v>
      </c>
      <c r="B136" s="166" t="s">
        <v>508</v>
      </c>
      <c r="C136" s="166" t="s">
        <v>509</v>
      </c>
      <c r="D136" s="165" t="s">
        <v>510</v>
      </c>
      <c r="E136" s="165">
        <v>42</v>
      </c>
      <c r="F136" s="165">
        <v>3</v>
      </c>
      <c r="G136" s="165" t="s">
        <v>511</v>
      </c>
      <c r="H136" s="165">
        <v>69081</v>
      </c>
      <c r="I136" s="165" t="s">
        <v>512</v>
      </c>
      <c r="J136" s="165" t="s">
        <v>513</v>
      </c>
      <c r="K136" s="165" t="s">
        <v>514</v>
      </c>
      <c r="L136" s="165" t="s">
        <v>515</v>
      </c>
      <c r="M136" s="165" t="s">
        <v>625</v>
      </c>
      <c r="N136" s="165" t="s">
        <v>537</v>
      </c>
      <c r="O136" s="165" t="s">
        <v>626</v>
      </c>
      <c r="P136" s="165"/>
      <c r="Q136" s="165" t="s">
        <v>511</v>
      </c>
      <c r="R136" s="165">
        <v>69002</v>
      </c>
      <c r="S136" s="165" t="s">
        <v>518</v>
      </c>
      <c r="T136" s="166" t="s">
        <v>157</v>
      </c>
      <c r="U136" s="165" t="s">
        <v>548</v>
      </c>
      <c r="V136" s="165" t="s">
        <v>549</v>
      </c>
      <c r="W136" s="167">
        <v>32</v>
      </c>
      <c r="X136" s="165"/>
      <c r="Y136" s="165"/>
      <c r="Z136" s="165"/>
      <c r="AA136" s="165" t="s">
        <v>108</v>
      </c>
      <c r="AB136" s="165" t="s">
        <v>566</v>
      </c>
      <c r="AC136" s="165" t="s">
        <v>511</v>
      </c>
      <c r="AD136" s="165">
        <v>69081</v>
      </c>
      <c r="AE136" s="168">
        <v>1.165252</v>
      </c>
      <c r="AF136" s="168">
        <v>0</v>
      </c>
      <c r="AG136" s="168">
        <f t="shared" si="2"/>
        <v>1.165252</v>
      </c>
      <c r="AI136" t="s">
        <v>606</v>
      </c>
      <c r="AK136" s="169" t="s">
        <v>627</v>
      </c>
    </row>
    <row r="137" spans="1:37" ht="43.2" x14ac:dyDescent="0.3">
      <c r="A137" s="165" t="s">
        <v>507</v>
      </c>
      <c r="B137" s="166" t="s">
        <v>508</v>
      </c>
      <c r="C137" s="166" t="s">
        <v>509</v>
      </c>
      <c r="D137" s="165" t="s">
        <v>510</v>
      </c>
      <c r="E137" s="165">
        <v>42</v>
      </c>
      <c r="F137" s="165">
        <v>3</v>
      </c>
      <c r="G137" s="165" t="s">
        <v>511</v>
      </c>
      <c r="H137" s="165">
        <v>69081</v>
      </c>
      <c r="I137" s="165" t="s">
        <v>512</v>
      </c>
      <c r="J137" s="165" t="s">
        <v>513</v>
      </c>
      <c r="K137" s="165" t="s">
        <v>514</v>
      </c>
      <c r="L137" s="165" t="s">
        <v>515</v>
      </c>
      <c r="M137" s="165" t="s">
        <v>628</v>
      </c>
      <c r="N137" s="165" t="s">
        <v>629</v>
      </c>
      <c r="O137" s="165">
        <v>3215</v>
      </c>
      <c r="P137" s="165">
        <v>24</v>
      </c>
      <c r="Q137" s="165" t="s">
        <v>511</v>
      </c>
      <c r="R137" s="165">
        <v>69002</v>
      </c>
      <c r="S137" s="165" t="s">
        <v>518</v>
      </c>
      <c r="T137" s="166" t="s">
        <v>183</v>
      </c>
      <c r="U137" s="165" t="s">
        <v>519</v>
      </c>
      <c r="V137" s="165" t="s">
        <v>520</v>
      </c>
      <c r="W137" s="167">
        <v>16</v>
      </c>
      <c r="X137" s="165"/>
      <c r="Y137" s="165"/>
      <c r="Z137" s="165"/>
      <c r="AA137" s="165" t="s">
        <v>108</v>
      </c>
      <c r="AB137" s="165" t="s">
        <v>566</v>
      </c>
      <c r="AC137" s="165" t="s">
        <v>511</v>
      </c>
      <c r="AD137" s="165">
        <v>69081</v>
      </c>
      <c r="AE137" s="168">
        <v>0.187998</v>
      </c>
      <c r="AF137" s="168">
        <v>0</v>
      </c>
      <c r="AG137" s="168">
        <f t="shared" si="2"/>
        <v>0.187998</v>
      </c>
      <c r="AI137" t="s">
        <v>630</v>
      </c>
      <c r="AK137" s="169" t="s">
        <v>631</v>
      </c>
    </row>
    <row r="138" spans="1:37" ht="43.2" x14ac:dyDescent="0.3">
      <c r="A138" s="165" t="s">
        <v>507</v>
      </c>
      <c r="B138" s="166" t="s">
        <v>508</v>
      </c>
      <c r="C138" s="166" t="s">
        <v>509</v>
      </c>
      <c r="D138" s="165" t="s">
        <v>510</v>
      </c>
      <c r="E138" s="165">
        <v>42</v>
      </c>
      <c r="F138" s="165">
        <v>3</v>
      </c>
      <c r="G138" s="165" t="s">
        <v>511</v>
      </c>
      <c r="H138" s="165">
        <v>69081</v>
      </c>
      <c r="I138" s="165" t="s">
        <v>512</v>
      </c>
      <c r="J138" s="165" t="s">
        <v>513</v>
      </c>
      <c r="K138" s="165" t="s">
        <v>514</v>
      </c>
      <c r="L138" s="165" t="s">
        <v>515</v>
      </c>
      <c r="M138" s="165" t="s">
        <v>186</v>
      </c>
      <c r="N138" s="165" t="s">
        <v>629</v>
      </c>
      <c r="O138" s="165">
        <v>3217</v>
      </c>
      <c r="P138" s="165">
        <v>25</v>
      </c>
      <c r="Q138" s="165" t="s">
        <v>511</v>
      </c>
      <c r="R138" s="165">
        <v>69002</v>
      </c>
      <c r="S138" s="165" t="s">
        <v>518</v>
      </c>
      <c r="T138" s="166" t="s">
        <v>185</v>
      </c>
      <c r="U138" s="165" t="s">
        <v>519</v>
      </c>
      <c r="V138" s="165" t="s">
        <v>520</v>
      </c>
      <c r="W138" s="167">
        <v>16</v>
      </c>
      <c r="X138" s="165"/>
      <c r="Y138" s="165"/>
      <c r="Z138" s="165"/>
      <c r="AA138" s="165" t="s">
        <v>108</v>
      </c>
      <c r="AB138" s="165" t="s">
        <v>566</v>
      </c>
      <c r="AC138" s="165" t="s">
        <v>511</v>
      </c>
      <c r="AD138" s="165">
        <v>69081</v>
      </c>
      <c r="AE138" s="168">
        <v>0.17899999999999999</v>
      </c>
      <c r="AF138" s="168">
        <v>0</v>
      </c>
      <c r="AG138" s="168">
        <f t="shared" si="2"/>
        <v>0.17899999999999999</v>
      </c>
      <c r="AI138" t="s">
        <v>630</v>
      </c>
      <c r="AK138" s="169" t="s">
        <v>631</v>
      </c>
    </row>
    <row r="139" spans="1:37" ht="43.2" x14ac:dyDescent="0.3">
      <c r="A139" s="165" t="s">
        <v>507</v>
      </c>
      <c r="B139" s="166" t="s">
        <v>508</v>
      </c>
      <c r="C139" s="166" t="s">
        <v>509</v>
      </c>
      <c r="D139" s="165" t="s">
        <v>510</v>
      </c>
      <c r="E139" s="165">
        <v>42</v>
      </c>
      <c r="F139" s="165">
        <v>3</v>
      </c>
      <c r="G139" s="165" t="s">
        <v>511</v>
      </c>
      <c r="H139" s="165">
        <v>69081</v>
      </c>
      <c r="I139" s="165" t="s">
        <v>512</v>
      </c>
      <c r="J139" s="165" t="s">
        <v>513</v>
      </c>
      <c r="K139" s="165" t="s">
        <v>514</v>
      </c>
      <c r="L139" s="165" t="s">
        <v>515</v>
      </c>
      <c r="M139" s="165" t="s">
        <v>139</v>
      </c>
      <c r="N139" s="165" t="s">
        <v>629</v>
      </c>
      <c r="O139" s="165">
        <v>3218</v>
      </c>
      <c r="P139" s="165">
        <v>26</v>
      </c>
      <c r="Q139" s="165" t="s">
        <v>511</v>
      </c>
      <c r="R139" s="165">
        <v>69002</v>
      </c>
      <c r="S139" s="165" t="s">
        <v>518</v>
      </c>
      <c r="T139" s="166" t="s">
        <v>138</v>
      </c>
      <c r="U139" s="165" t="s">
        <v>548</v>
      </c>
      <c r="V139" s="165" t="s">
        <v>549</v>
      </c>
      <c r="W139" s="167">
        <v>40</v>
      </c>
      <c r="X139" s="165"/>
      <c r="Y139" s="165"/>
      <c r="Z139" s="165"/>
      <c r="AA139" s="165" t="s">
        <v>108</v>
      </c>
      <c r="AB139" s="165" t="s">
        <v>566</v>
      </c>
      <c r="AC139" s="165" t="s">
        <v>511</v>
      </c>
      <c r="AD139" s="165">
        <v>69081</v>
      </c>
      <c r="AE139" s="168">
        <v>3.7289880000000002</v>
      </c>
      <c r="AF139" s="168">
        <v>0</v>
      </c>
      <c r="AG139" s="168">
        <f t="shared" si="2"/>
        <v>3.7289880000000002</v>
      </c>
      <c r="AI139" t="s">
        <v>630</v>
      </c>
      <c r="AK139" s="169" t="s">
        <v>631</v>
      </c>
    </row>
    <row r="140" spans="1:37" ht="43.2" x14ac:dyDescent="0.3">
      <c r="A140" s="165" t="s">
        <v>507</v>
      </c>
      <c r="B140" s="166" t="s">
        <v>508</v>
      </c>
      <c r="C140" s="166" t="s">
        <v>509</v>
      </c>
      <c r="D140" s="165" t="s">
        <v>510</v>
      </c>
      <c r="E140" s="165">
        <v>42</v>
      </c>
      <c r="F140" s="165">
        <v>3</v>
      </c>
      <c r="G140" s="165" t="s">
        <v>511</v>
      </c>
      <c r="H140" s="165">
        <v>69081</v>
      </c>
      <c r="I140" s="165" t="s">
        <v>512</v>
      </c>
      <c r="J140" s="165" t="s">
        <v>513</v>
      </c>
      <c r="K140" s="165" t="s">
        <v>514</v>
      </c>
      <c r="L140" s="165" t="s">
        <v>515</v>
      </c>
      <c r="M140" s="165" t="s">
        <v>141</v>
      </c>
      <c r="N140" s="165" t="s">
        <v>629</v>
      </c>
      <c r="O140" s="165">
        <v>3219</v>
      </c>
      <c r="P140" s="165">
        <v>27</v>
      </c>
      <c r="Q140" s="165" t="s">
        <v>511</v>
      </c>
      <c r="R140" s="165">
        <v>69002</v>
      </c>
      <c r="S140" s="165" t="s">
        <v>518</v>
      </c>
      <c r="T140" s="166" t="s">
        <v>140</v>
      </c>
      <c r="U140" s="165" t="s">
        <v>548</v>
      </c>
      <c r="V140" s="165" t="s">
        <v>549</v>
      </c>
      <c r="W140" s="167">
        <v>40</v>
      </c>
      <c r="X140" s="165"/>
      <c r="Y140" s="165"/>
      <c r="Z140" s="165"/>
      <c r="AA140" s="165" t="s">
        <v>108</v>
      </c>
      <c r="AB140" s="165" t="s">
        <v>566</v>
      </c>
      <c r="AC140" s="165" t="s">
        <v>511</v>
      </c>
      <c r="AD140" s="165">
        <v>69081</v>
      </c>
      <c r="AE140" s="168">
        <v>3.6989890000000001</v>
      </c>
      <c r="AF140" s="168">
        <v>0</v>
      </c>
      <c r="AG140" s="168">
        <f t="shared" si="2"/>
        <v>3.6989890000000001</v>
      </c>
      <c r="AI140" t="s">
        <v>630</v>
      </c>
      <c r="AK140" s="169" t="s">
        <v>631</v>
      </c>
    </row>
    <row r="141" spans="1:37" x14ac:dyDescent="0.3">
      <c r="A141" s="159" t="s">
        <v>507</v>
      </c>
      <c r="B141" s="160" t="s">
        <v>508</v>
      </c>
      <c r="C141" s="160" t="s">
        <v>509</v>
      </c>
      <c r="D141" s="159" t="s">
        <v>510</v>
      </c>
      <c r="E141" s="159">
        <v>42</v>
      </c>
      <c r="F141" s="159">
        <v>3</v>
      </c>
      <c r="G141" s="159" t="s">
        <v>511</v>
      </c>
      <c r="H141" s="159">
        <v>69081</v>
      </c>
      <c r="I141" s="159" t="s">
        <v>512</v>
      </c>
      <c r="J141" s="159" t="s">
        <v>513</v>
      </c>
      <c r="K141" s="159" t="s">
        <v>514</v>
      </c>
      <c r="L141" s="159" t="s">
        <v>515</v>
      </c>
      <c r="M141" s="159" t="s">
        <v>166</v>
      </c>
      <c r="N141" s="159" t="s">
        <v>166</v>
      </c>
      <c r="O141" s="159"/>
      <c r="P141" s="159"/>
      <c r="Q141" s="159" t="s">
        <v>511</v>
      </c>
      <c r="R141" s="159">
        <v>69002</v>
      </c>
      <c r="S141" s="159" t="s">
        <v>518</v>
      </c>
      <c r="T141" s="160" t="s">
        <v>165</v>
      </c>
      <c r="U141" s="159" t="s">
        <v>548</v>
      </c>
      <c r="V141" s="159" t="s">
        <v>549</v>
      </c>
      <c r="W141" s="161">
        <v>200</v>
      </c>
      <c r="X141" s="159"/>
      <c r="Y141" s="159"/>
      <c r="Z141" s="159"/>
      <c r="AA141" s="159" t="s">
        <v>108</v>
      </c>
      <c r="AB141" s="159" t="s">
        <v>566</v>
      </c>
      <c r="AC141" s="159" t="s">
        <v>511</v>
      </c>
      <c r="AD141" s="159">
        <v>69081</v>
      </c>
      <c r="AE141" s="162">
        <v>0.59599999999999997</v>
      </c>
      <c r="AF141" s="162">
        <v>0</v>
      </c>
      <c r="AG141" s="162">
        <f t="shared" si="2"/>
        <v>0.59599999999999997</v>
      </c>
    </row>
    <row r="142" spans="1:37" x14ac:dyDescent="0.3">
      <c r="A142" s="159" t="s">
        <v>507</v>
      </c>
      <c r="B142" s="160" t="s">
        <v>508</v>
      </c>
      <c r="C142" s="160" t="s">
        <v>509</v>
      </c>
      <c r="D142" s="159" t="s">
        <v>510</v>
      </c>
      <c r="E142" s="159">
        <v>42</v>
      </c>
      <c r="F142" s="159">
        <v>3</v>
      </c>
      <c r="G142" s="159" t="s">
        <v>511</v>
      </c>
      <c r="H142" s="159">
        <v>69081</v>
      </c>
      <c r="I142" s="159" t="s">
        <v>512</v>
      </c>
      <c r="J142" s="159" t="s">
        <v>513</v>
      </c>
      <c r="K142" s="159" t="s">
        <v>514</v>
      </c>
      <c r="L142" s="159" t="s">
        <v>515</v>
      </c>
      <c r="M142" s="159" t="s">
        <v>152</v>
      </c>
      <c r="N142" s="159" t="s">
        <v>632</v>
      </c>
      <c r="O142" s="159">
        <v>5692</v>
      </c>
      <c r="P142" s="159"/>
      <c r="Q142" s="159" t="s">
        <v>511</v>
      </c>
      <c r="R142" s="159">
        <v>69002</v>
      </c>
      <c r="S142" s="159" t="s">
        <v>518</v>
      </c>
      <c r="T142" s="160" t="s">
        <v>151</v>
      </c>
      <c r="U142" s="159" t="s">
        <v>633</v>
      </c>
      <c r="V142" s="159" t="s">
        <v>549</v>
      </c>
      <c r="W142" s="161">
        <v>16</v>
      </c>
      <c r="X142" s="159"/>
      <c r="Y142" s="159"/>
      <c r="Z142" s="159"/>
      <c r="AA142" s="159" t="s">
        <v>108</v>
      </c>
      <c r="AB142" s="159" t="s">
        <v>566</v>
      </c>
      <c r="AC142" s="159" t="s">
        <v>511</v>
      </c>
      <c r="AD142" s="159">
        <v>69081</v>
      </c>
      <c r="AE142" s="162">
        <v>1.7296050000000001</v>
      </c>
      <c r="AF142" s="162">
        <v>0</v>
      </c>
      <c r="AG142" s="162">
        <f t="shared" si="2"/>
        <v>1.7296050000000001</v>
      </c>
    </row>
    <row r="143" spans="1:37" ht="57.6" x14ac:dyDescent="0.3">
      <c r="A143" s="165" t="s">
        <v>507</v>
      </c>
      <c r="B143" s="166" t="s">
        <v>508</v>
      </c>
      <c r="C143" s="166" t="s">
        <v>509</v>
      </c>
      <c r="D143" s="165" t="s">
        <v>510</v>
      </c>
      <c r="E143" s="165">
        <v>42</v>
      </c>
      <c r="F143" s="165">
        <v>3</v>
      </c>
      <c r="G143" s="165" t="s">
        <v>511</v>
      </c>
      <c r="H143" s="165">
        <v>69081</v>
      </c>
      <c r="I143" s="165" t="s">
        <v>512</v>
      </c>
      <c r="J143" s="165" t="s">
        <v>513</v>
      </c>
      <c r="K143" s="165" t="s">
        <v>514</v>
      </c>
      <c r="L143" s="165" t="s">
        <v>515</v>
      </c>
      <c r="M143" s="165" t="s">
        <v>634</v>
      </c>
      <c r="N143" s="165" t="s">
        <v>635</v>
      </c>
      <c r="O143" s="165">
        <v>2085</v>
      </c>
      <c r="P143" s="165">
        <v>1</v>
      </c>
      <c r="Q143" s="165" t="s">
        <v>511</v>
      </c>
      <c r="R143" s="165">
        <v>69002</v>
      </c>
      <c r="S143" s="165" t="s">
        <v>518</v>
      </c>
      <c r="T143" s="166" t="s">
        <v>636</v>
      </c>
      <c r="U143" s="165" t="s">
        <v>579</v>
      </c>
      <c r="V143" s="165" t="s">
        <v>549</v>
      </c>
      <c r="W143" s="167">
        <v>63</v>
      </c>
      <c r="X143" s="165"/>
      <c r="Y143" s="165"/>
      <c r="Z143" s="165"/>
      <c r="AA143" s="165" t="s">
        <v>108</v>
      </c>
      <c r="AB143" s="165" t="s">
        <v>566</v>
      </c>
      <c r="AC143" s="165" t="s">
        <v>511</v>
      </c>
      <c r="AD143" s="165">
        <v>69081</v>
      </c>
      <c r="AE143" s="168">
        <v>7.3225220000000002</v>
      </c>
      <c r="AF143" s="168">
        <v>1.8830579999999999</v>
      </c>
      <c r="AG143" s="168">
        <f t="shared" si="2"/>
        <v>9.2055799999999994</v>
      </c>
      <c r="AI143" t="s">
        <v>637</v>
      </c>
      <c r="AK143" s="169" t="s">
        <v>638</v>
      </c>
    </row>
    <row r="144" spans="1:37" ht="57.6" x14ac:dyDescent="0.3">
      <c r="A144" s="165" t="s">
        <v>507</v>
      </c>
      <c r="B144" s="166" t="s">
        <v>508</v>
      </c>
      <c r="C144" s="166" t="s">
        <v>509</v>
      </c>
      <c r="D144" s="165" t="s">
        <v>510</v>
      </c>
      <c r="E144" s="165">
        <v>42</v>
      </c>
      <c r="F144" s="165">
        <v>3</v>
      </c>
      <c r="G144" s="165" t="s">
        <v>511</v>
      </c>
      <c r="H144" s="165">
        <v>69081</v>
      </c>
      <c r="I144" s="165" t="s">
        <v>512</v>
      </c>
      <c r="J144" s="165" t="s">
        <v>513</v>
      </c>
      <c r="K144" s="165" t="s">
        <v>514</v>
      </c>
      <c r="L144" s="165" t="s">
        <v>515</v>
      </c>
      <c r="M144" s="165" t="s">
        <v>634</v>
      </c>
      <c r="N144" s="165" t="s">
        <v>635</v>
      </c>
      <c r="O144" s="165">
        <v>2085</v>
      </c>
      <c r="P144" s="165">
        <v>1</v>
      </c>
      <c r="Q144" s="165" t="s">
        <v>511</v>
      </c>
      <c r="R144" s="165">
        <v>69002</v>
      </c>
      <c r="S144" s="165" t="s">
        <v>518</v>
      </c>
      <c r="T144" s="166" t="s">
        <v>639</v>
      </c>
      <c r="U144" s="165" t="s">
        <v>579</v>
      </c>
      <c r="V144" s="165" t="s">
        <v>549</v>
      </c>
      <c r="W144" s="167">
        <v>40</v>
      </c>
      <c r="X144" s="165"/>
      <c r="Y144" s="165"/>
      <c r="Z144" s="165"/>
      <c r="AA144" s="165" t="s">
        <v>108</v>
      </c>
      <c r="AB144" s="165" t="s">
        <v>566</v>
      </c>
      <c r="AC144" s="165" t="s">
        <v>511</v>
      </c>
      <c r="AD144" s="165">
        <v>69081</v>
      </c>
      <c r="AE144" s="168">
        <v>7.2560289999999998</v>
      </c>
      <c r="AF144" s="168">
        <v>1.615529</v>
      </c>
      <c r="AG144" s="168">
        <f t="shared" si="2"/>
        <v>8.8715580000000003</v>
      </c>
      <c r="AI144" t="s">
        <v>637</v>
      </c>
      <c r="AK144" s="169" t="s">
        <v>638</v>
      </c>
    </row>
    <row r="145" spans="1:37" ht="57.6" x14ac:dyDescent="0.3">
      <c r="A145" s="165" t="s">
        <v>507</v>
      </c>
      <c r="B145" s="166" t="s">
        <v>508</v>
      </c>
      <c r="C145" s="166" t="s">
        <v>509</v>
      </c>
      <c r="D145" s="165" t="s">
        <v>510</v>
      </c>
      <c r="E145" s="165">
        <v>42</v>
      </c>
      <c r="F145" s="165">
        <v>3</v>
      </c>
      <c r="G145" s="165" t="s">
        <v>511</v>
      </c>
      <c r="H145" s="165">
        <v>69081</v>
      </c>
      <c r="I145" s="165" t="s">
        <v>512</v>
      </c>
      <c r="J145" s="165" t="s">
        <v>513</v>
      </c>
      <c r="K145" s="165" t="s">
        <v>514</v>
      </c>
      <c r="L145" s="165" t="s">
        <v>515</v>
      </c>
      <c r="M145" s="165" t="s">
        <v>634</v>
      </c>
      <c r="N145" s="165" t="s">
        <v>635</v>
      </c>
      <c r="O145" s="165">
        <v>2085</v>
      </c>
      <c r="P145" s="165">
        <v>1</v>
      </c>
      <c r="Q145" s="165" t="s">
        <v>511</v>
      </c>
      <c r="R145" s="165">
        <v>69002</v>
      </c>
      <c r="S145" s="165" t="s">
        <v>518</v>
      </c>
      <c r="T145" s="166" t="s">
        <v>640</v>
      </c>
      <c r="U145" s="165" t="s">
        <v>579</v>
      </c>
      <c r="V145" s="165" t="s">
        <v>549</v>
      </c>
      <c r="W145" s="167">
        <v>20</v>
      </c>
      <c r="X145" s="165"/>
      <c r="Y145" s="165"/>
      <c r="Z145" s="165"/>
      <c r="AA145" s="165" t="s">
        <v>108</v>
      </c>
      <c r="AB145" s="165" t="s">
        <v>566</v>
      </c>
      <c r="AC145" s="165" t="s">
        <v>511</v>
      </c>
      <c r="AD145" s="165">
        <v>69081</v>
      </c>
      <c r="AE145" s="168">
        <v>6.8157430000000003</v>
      </c>
      <c r="AF145" s="168">
        <v>5.1873149999999999</v>
      </c>
      <c r="AG145" s="168">
        <f t="shared" si="2"/>
        <v>12.003057999999999</v>
      </c>
      <c r="AI145" t="s">
        <v>637</v>
      </c>
      <c r="AK145" s="169" t="s">
        <v>638</v>
      </c>
    </row>
  </sheetData>
  <mergeCells count="6">
    <mergeCell ref="AE3:AG3"/>
    <mergeCell ref="A3:H3"/>
    <mergeCell ref="I3:L3"/>
    <mergeCell ref="M3:W3"/>
    <mergeCell ref="X3:Z3"/>
    <mergeCell ref="AA3:AD3"/>
  </mergeCells>
  <hyperlinks>
    <hyperlink ref="L18" r:id="rId1" xr:uid="{95A6B149-469F-423C-B7E2-E717F24CEF3E}"/>
    <hyperlink ref="L19:L20" r:id="rId2" display="starosta@breclav.eu" xr:uid="{9F5B9C9A-6436-4E40-92E9-7D84A5B16362}"/>
  </hyperlinks>
  <pageMargins left="0.7" right="0.7" top="0.78740157499999996" bottom="0.78740157499999996" header="0.3" footer="0.3"/>
  <pageSetup paperSize="9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E3D29-BFF6-44DB-8C64-F7F36AC879FF}">
  <sheetPr>
    <pageSetUpPr fitToPage="1"/>
  </sheetPr>
  <dimension ref="A1:Y179"/>
  <sheetViews>
    <sheetView topLeftCell="A89" workbookViewId="0">
      <selection sqref="A1:A3"/>
    </sheetView>
  </sheetViews>
  <sheetFormatPr defaultRowHeight="14.4" x14ac:dyDescent="0.3"/>
  <cols>
    <col min="1" max="1" width="60.5546875" customWidth="1"/>
    <col min="2" max="2" width="33.21875" customWidth="1"/>
    <col min="3" max="4" width="20.77734375" customWidth="1"/>
    <col min="5" max="5" width="17.88671875" bestFit="1" customWidth="1"/>
    <col min="6" max="6" width="10.33203125" customWidth="1"/>
    <col min="7" max="7" width="16.44140625" customWidth="1"/>
    <col min="8" max="8" width="19.21875" customWidth="1"/>
    <col min="9" max="10" width="14.88671875" hidden="1" customWidth="1"/>
    <col min="11" max="11" width="14.88671875" customWidth="1"/>
    <col min="13" max="13" width="12.6640625" bestFit="1" customWidth="1"/>
    <col min="15" max="24" width="13.21875" customWidth="1"/>
    <col min="25" max="25" width="28" customWidth="1"/>
    <col min="47" max="47" width="18.77734375" customWidth="1"/>
    <col min="62" max="62" width="20.77734375" customWidth="1"/>
    <col min="77" max="77" width="19.5546875" customWidth="1"/>
    <col min="92" max="92" width="16" customWidth="1"/>
  </cols>
  <sheetData>
    <row r="1" spans="1:25" ht="72" x14ac:dyDescent="0.3">
      <c r="A1" s="194" t="s">
        <v>8</v>
      </c>
      <c r="B1" s="205" t="s">
        <v>9</v>
      </c>
      <c r="C1" s="202" t="s">
        <v>431</v>
      </c>
      <c r="D1" s="199" t="s">
        <v>432</v>
      </c>
      <c r="E1" s="134" t="s">
        <v>421</v>
      </c>
      <c r="F1" s="134" t="s">
        <v>422</v>
      </c>
      <c r="G1" s="155" t="s">
        <v>447</v>
      </c>
      <c r="H1" s="144" t="s">
        <v>435</v>
      </c>
      <c r="I1" s="134" t="s">
        <v>424</v>
      </c>
      <c r="J1" s="135" t="s">
        <v>424</v>
      </c>
      <c r="K1" s="208" t="s">
        <v>426</v>
      </c>
      <c r="L1" s="209"/>
      <c r="M1" s="210" t="s">
        <v>436</v>
      </c>
      <c r="N1" s="211"/>
      <c r="O1" s="202" t="s">
        <v>437</v>
      </c>
      <c r="P1" s="202" t="s">
        <v>438</v>
      </c>
      <c r="Q1" s="202" t="s">
        <v>439</v>
      </c>
      <c r="R1" s="202" t="s">
        <v>440</v>
      </c>
      <c r="S1" s="202" t="s">
        <v>441</v>
      </c>
      <c r="T1" s="199" t="s">
        <v>442</v>
      </c>
      <c r="U1" s="199" t="s">
        <v>443</v>
      </c>
      <c r="V1" s="199" t="s">
        <v>444</v>
      </c>
      <c r="W1" s="199" t="s">
        <v>445</v>
      </c>
      <c r="X1" s="199" t="s">
        <v>13</v>
      </c>
      <c r="Y1" s="199" t="s">
        <v>446</v>
      </c>
    </row>
    <row r="2" spans="1:25" x14ac:dyDescent="0.3">
      <c r="A2" s="195"/>
      <c r="B2" s="206"/>
      <c r="C2" s="203"/>
      <c r="D2" s="200"/>
      <c r="E2" s="136" t="s">
        <v>433</v>
      </c>
      <c r="F2" s="136" t="s">
        <v>433</v>
      </c>
      <c r="G2" s="136" t="s">
        <v>433</v>
      </c>
      <c r="H2" s="136" t="s">
        <v>433</v>
      </c>
      <c r="I2" s="136"/>
      <c r="J2" s="137"/>
      <c r="K2" s="138" t="s">
        <v>427</v>
      </c>
      <c r="L2" s="139" t="s">
        <v>428</v>
      </c>
      <c r="M2" s="138" t="s">
        <v>427</v>
      </c>
      <c r="N2" s="139" t="s">
        <v>428</v>
      </c>
      <c r="O2" s="203"/>
      <c r="P2" s="203"/>
      <c r="Q2" s="203"/>
      <c r="R2" s="203"/>
      <c r="S2" s="203"/>
      <c r="T2" s="200"/>
      <c r="U2" s="200"/>
      <c r="V2" s="200"/>
      <c r="W2" s="200"/>
      <c r="X2" s="200"/>
      <c r="Y2" s="200"/>
    </row>
    <row r="3" spans="1:25" ht="15" thickBot="1" x14ac:dyDescent="0.35">
      <c r="A3" s="196"/>
      <c r="B3" s="207"/>
      <c r="C3" s="204"/>
      <c r="D3" s="201"/>
      <c r="E3" s="140" t="s">
        <v>423</v>
      </c>
      <c r="F3" s="140" t="s">
        <v>423</v>
      </c>
      <c r="G3" s="140" t="s">
        <v>423</v>
      </c>
      <c r="H3" s="140" t="s">
        <v>434</v>
      </c>
      <c r="I3" s="140" t="s">
        <v>423</v>
      </c>
      <c r="J3" s="141" t="s">
        <v>425</v>
      </c>
      <c r="K3" s="142" t="s">
        <v>429</v>
      </c>
      <c r="L3" s="143" t="s">
        <v>430</v>
      </c>
      <c r="M3" s="142" t="s">
        <v>429</v>
      </c>
      <c r="N3" s="143" t="s">
        <v>430</v>
      </c>
      <c r="O3" s="204"/>
      <c r="P3" s="204"/>
      <c r="Q3" s="204"/>
      <c r="R3" s="204"/>
      <c r="S3" s="204"/>
      <c r="T3" s="201"/>
      <c r="U3" s="201"/>
      <c r="V3" s="201"/>
      <c r="W3" s="201"/>
      <c r="X3" s="201"/>
      <c r="Y3" s="201"/>
    </row>
    <row r="4" spans="1:25" x14ac:dyDescent="0.3">
      <c r="A4" s="89" t="s">
        <v>18</v>
      </c>
      <c r="B4" s="146" t="s">
        <v>19</v>
      </c>
      <c r="C4" s="133" t="s">
        <v>448</v>
      </c>
      <c r="D4" s="133" t="s">
        <v>18</v>
      </c>
      <c r="E4" s="133">
        <f>'Spotřeba tepla'!BB4/3.6</f>
        <v>896.66666666666663</v>
      </c>
      <c r="F4" s="133">
        <f>'Spotřeba zemního plynu'!BB4</f>
        <v>1021.5</v>
      </c>
      <c r="G4" s="154">
        <f>'Spotřeba elektřiny'!BB4</f>
        <v>387.74300000000005</v>
      </c>
      <c r="H4" s="133"/>
      <c r="I4" s="133">
        <f>G4+IF(E4&gt;0,E4,F4)</f>
        <v>1284.4096666666667</v>
      </c>
      <c r="J4" s="128">
        <f t="shared" ref="J4:J35" si="0">I4/$I$179</f>
        <v>0.15080585932111965</v>
      </c>
      <c r="K4" s="80"/>
      <c r="L4" s="81"/>
      <c r="M4" s="80"/>
      <c r="N4" s="81"/>
      <c r="O4" s="133" t="s">
        <v>468</v>
      </c>
      <c r="P4" s="133" t="s">
        <v>467</v>
      </c>
      <c r="Q4" s="133"/>
      <c r="R4" s="133" t="s">
        <v>470</v>
      </c>
      <c r="S4" s="133" t="s">
        <v>468</v>
      </c>
      <c r="T4" s="133" t="s">
        <v>472</v>
      </c>
      <c r="U4" s="133" t="s">
        <v>475</v>
      </c>
      <c r="V4" s="133" t="s">
        <v>468</v>
      </c>
      <c r="W4" s="133"/>
      <c r="X4" s="133">
        <v>1</v>
      </c>
      <c r="Y4" s="145" t="s">
        <v>17</v>
      </c>
    </row>
    <row r="5" spans="1:25" ht="57.6" x14ac:dyDescent="0.3">
      <c r="A5" s="89" t="s">
        <v>21</v>
      </c>
      <c r="B5" s="146" t="s">
        <v>22</v>
      </c>
      <c r="C5" s="133" t="s">
        <v>448</v>
      </c>
      <c r="D5" s="133" t="s">
        <v>21</v>
      </c>
      <c r="E5" s="133">
        <f>'Spotřeba tepla'!BB5/3.6</f>
        <v>273.33333333333331</v>
      </c>
      <c r="F5" s="133">
        <f>'Spotřeba zemního plynu'!BB5</f>
        <v>299.5</v>
      </c>
      <c r="G5" s="154">
        <f>'Spotřeba elektřiny'!BB5</f>
        <v>270.72000000000003</v>
      </c>
      <c r="H5" s="133"/>
      <c r="I5" s="133">
        <f>G5+IF(E5&gt;0,E5,F5)</f>
        <v>544.05333333333328</v>
      </c>
      <c r="J5" s="128">
        <f t="shared" si="0"/>
        <v>6.3878708311797358E-2</v>
      </c>
      <c r="K5" s="80"/>
      <c r="L5" s="81"/>
      <c r="M5" s="80"/>
      <c r="N5" s="81"/>
      <c r="O5" s="133"/>
      <c r="P5" s="133" t="s">
        <v>469</v>
      </c>
      <c r="Q5" s="133"/>
      <c r="R5" s="133" t="s">
        <v>470</v>
      </c>
      <c r="S5" s="133" t="s">
        <v>468</v>
      </c>
      <c r="T5" s="133" t="s">
        <v>473</v>
      </c>
      <c r="U5" s="133" t="s">
        <v>468</v>
      </c>
      <c r="V5" s="133" t="s">
        <v>472</v>
      </c>
      <c r="W5" s="133"/>
      <c r="X5" s="133">
        <v>4</v>
      </c>
      <c r="Y5" s="145" t="s">
        <v>20</v>
      </c>
    </row>
    <row r="6" spans="1:25" x14ac:dyDescent="0.3">
      <c r="A6" s="89" t="s">
        <v>25</v>
      </c>
      <c r="B6" s="146" t="s">
        <v>26</v>
      </c>
      <c r="C6" s="133" t="s">
        <v>448</v>
      </c>
      <c r="D6" s="133" t="s">
        <v>462</v>
      </c>
      <c r="E6" s="133">
        <f>'Spotřeba tepla'!BB6/3.6</f>
        <v>738.47222222222217</v>
      </c>
      <c r="F6" s="133">
        <f>'Spotřeba zemního plynu'!BB6</f>
        <v>820.5</v>
      </c>
      <c r="G6" s="154">
        <f>'Spotřeba elektřiny'!BB6</f>
        <v>193.67999999999998</v>
      </c>
      <c r="H6" s="133"/>
      <c r="I6" s="133">
        <f>G6+IF(E6&gt;0,E6,F6)</f>
        <v>932.15222222222212</v>
      </c>
      <c r="J6" s="128">
        <f t="shared" si="0"/>
        <v>0.10944640213985217</v>
      </c>
      <c r="K6" s="80"/>
      <c r="L6" s="81"/>
      <c r="M6" s="80"/>
      <c r="N6" s="81"/>
      <c r="O6" s="133" t="s">
        <v>466</v>
      </c>
      <c r="P6" s="133" t="s">
        <v>466</v>
      </c>
      <c r="Q6" s="133"/>
      <c r="R6" s="133" t="s">
        <v>470</v>
      </c>
      <c r="S6" s="133" t="s">
        <v>472</v>
      </c>
      <c r="T6" s="133" t="s">
        <v>474</v>
      </c>
      <c r="U6" s="133" t="s">
        <v>468</v>
      </c>
      <c r="V6" s="133" t="s">
        <v>474</v>
      </c>
      <c r="W6" s="133"/>
      <c r="X6" s="133">
        <v>1</v>
      </c>
      <c r="Y6" s="145" t="s">
        <v>24</v>
      </c>
    </row>
    <row r="7" spans="1:25" x14ac:dyDescent="0.3">
      <c r="A7" s="89" t="s">
        <v>28</v>
      </c>
      <c r="B7" s="146" t="s">
        <v>29</v>
      </c>
      <c r="C7" s="133" t="s">
        <v>448</v>
      </c>
      <c r="D7" s="133" t="s">
        <v>461</v>
      </c>
      <c r="E7" s="133">
        <f>'Spotřeba tepla'!BB7/3.6</f>
        <v>816.94444444444446</v>
      </c>
      <c r="F7" s="133">
        <f>'Spotřeba zemního plynu'!BB7</f>
        <v>1241.5</v>
      </c>
      <c r="G7" s="154">
        <f>'Spotřeba elektřiny'!BB7</f>
        <v>325.59200000000004</v>
      </c>
      <c r="H7" s="133"/>
      <c r="I7" s="133">
        <f>G7+IF(E7&gt;0,E7,F7)</f>
        <v>1142.5364444444444</v>
      </c>
      <c r="J7" s="128">
        <f t="shared" si="0"/>
        <v>0.13414815754018858</v>
      </c>
      <c r="K7" s="80"/>
      <c r="L7" s="81"/>
      <c r="M7" s="80"/>
      <c r="N7" s="81"/>
      <c r="O7" s="133"/>
      <c r="P7" s="133"/>
      <c r="Q7" s="133"/>
      <c r="R7" s="133" t="s">
        <v>470</v>
      </c>
      <c r="S7" s="133" t="s">
        <v>468</v>
      </c>
      <c r="T7" s="133" t="s">
        <v>468</v>
      </c>
      <c r="U7" s="133" t="s">
        <v>468</v>
      </c>
      <c r="V7" s="133"/>
      <c r="W7" s="133"/>
      <c r="X7" s="133">
        <v>1</v>
      </c>
      <c r="Y7" s="145" t="s">
        <v>27</v>
      </c>
    </row>
    <row r="8" spans="1:25" x14ac:dyDescent="0.3">
      <c r="A8" s="89" t="s">
        <v>31</v>
      </c>
      <c r="B8" s="146" t="s">
        <v>32</v>
      </c>
      <c r="C8" s="133" t="s">
        <v>448</v>
      </c>
      <c r="D8" s="133" t="s">
        <v>449</v>
      </c>
      <c r="E8" s="133">
        <f>'Spotřeba tepla'!BB8/3.6</f>
        <v>415.27777777777777</v>
      </c>
      <c r="F8" s="133">
        <f>'Spotřeba zemního plynu'!BB8</f>
        <v>0</v>
      </c>
      <c r="G8" s="154">
        <f>'Spotřeba elektřiny'!BB8</f>
        <v>88.161999999999992</v>
      </c>
      <c r="H8" s="133"/>
      <c r="I8" s="133">
        <f t="shared" ref="I8:I39" si="1">G8+IF(E8&gt;0,E8,F8)</f>
        <v>503.43977777777775</v>
      </c>
      <c r="J8" s="128">
        <f t="shared" si="0"/>
        <v>5.9110165762957211E-2</v>
      </c>
      <c r="K8" s="80"/>
      <c r="L8" s="81"/>
      <c r="M8" s="80"/>
      <c r="N8" s="81"/>
      <c r="O8" s="133"/>
      <c r="P8" s="133"/>
      <c r="Q8" s="133"/>
      <c r="R8" s="133" t="s">
        <v>470</v>
      </c>
      <c r="S8" s="133" t="s">
        <v>468</v>
      </c>
      <c r="T8" s="133" t="s">
        <v>468</v>
      </c>
      <c r="U8" s="133" t="s">
        <v>468</v>
      </c>
      <c r="V8" s="133"/>
      <c r="W8" s="133"/>
      <c r="X8" s="133">
        <v>1</v>
      </c>
      <c r="Y8" s="145" t="s">
        <v>30</v>
      </c>
    </row>
    <row r="9" spans="1:25" x14ac:dyDescent="0.3">
      <c r="A9" s="89" t="s">
        <v>34</v>
      </c>
      <c r="B9" s="146" t="s">
        <v>35</v>
      </c>
      <c r="C9" s="133" t="s">
        <v>448</v>
      </c>
      <c r="D9" s="133" t="s">
        <v>34</v>
      </c>
      <c r="E9" s="133">
        <f>'Spotřeba tepla'!BB9/3.6</f>
        <v>415.83333333333331</v>
      </c>
      <c r="F9" s="133">
        <f>'Spotřeba zemního plynu'!BB9</f>
        <v>471.5</v>
      </c>
      <c r="G9" s="154">
        <f>'Spotřeba elektřiny'!BB9</f>
        <v>79.253</v>
      </c>
      <c r="H9" s="133"/>
      <c r="I9" s="133">
        <f t="shared" si="1"/>
        <v>495.0863333333333</v>
      </c>
      <c r="J9" s="128">
        <f t="shared" si="0"/>
        <v>5.8129366256048323E-2</v>
      </c>
      <c r="K9" s="80"/>
      <c r="L9" s="81"/>
      <c r="M9" s="80"/>
      <c r="N9" s="81"/>
      <c r="O9" s="133"/>
      <c r="P9" s="133"/>
      <c r="Q9" s="133"/>
      <c r="R9" s="133" t="s">
        <v>470</v>
      </c>
      <c r="S9" s="133" t="s">
        <v>468</v>
      </c>
      <c r="T9" s="133" t="s">
        <v>468</v>
      </c>
      <c r="U9" s="133" t="s">
        <v>468</v>
      </c>
      <c r="V9" s="133"/>
      <c r="W9" s="133"/>
      <c r="X9" s="133">
        <v>1</v>
      </c>
      <c r="Y9" s="145" t="s">
        <v>33</v>
      </c>
    </row>
    <row r="10" spans="1:25" ht="57.6" x14ac:dyDescent="0.3">
      <c r="A10" s="89" t="s">
        <v>37</v>
      </c>
      <c r="B10" s="146" t="s">
        <v>38</v>
      </c>
      <c r="C10" s="133" t="s">
        <v>448</v>
      </c>
      <c r="D10" s="133" t="s">
        <v>463</v>
      </c>
      <c r="E10" s="133">
        <f>'Spotřeba tepla'!BB10/3.6</f>
        <v>58.194444444444443</v>
      </c>
      <c r="F10" s="133"/>
      <c r="G10" s="154">
        <f>'Spotřeba elektřiny'!BB10</f>
        <v>36.603999999999999</v>
      </c>
      <c r="H10" s="133"/>
      <c r="I10" s="133">
        <f t="shared" si="1"/>
        <v>94.798444444444442</v>
      </c>
      <c r="J10" s="128">
        <f t="shared" si="0"/>
        <v>1.1130530427921516E-2</v>
      </c>
      <c r="K10" s="80"/>
      <c r="L10" s="81"/>
      <c r="M10" s="80"/>
      <c r="N10" s="81"/>
      <c r="O10" s="133"/>
      <c r="P10" s="133"/>
      <c r="Q10" s="133"/>
      <c r="R10" s="133" t="s">
        <v>471</v>
      </c>
      <c r="S10" s="133"/>
      <c r="T10" s="133"/>
      <c r="U10" s="133" t="s">
        <v>468</v>
      </c>
      <c r="V10" s="133"/>
      <c r="W10" s="133"/>
      <c r="X10" s="133">
        <v>4</v>
      </c>
      <c r="Y10" s="145" t="s">
        <v>36</v>
      </c>
    </row>
    <row r="11" spans="1:25" ht="43.2" x14ac:dyDescent="0.3">
      <c r="A11" s="89" t="s">
        <v>40</v>
      </c>
      <c r="B11" s="146" t="s">
        <v>41</v>
      </c>
      <c r="C11" s="133" t="s">
        <v>448</v>
      </c>
      <c r="D11" s="133" t="s">
        <v>449</v>
      </c>
      <c r="E11" s="133">
        <f>'Spotřeba tepla'!BB11/3.6</f>
        <v>532.77777777777771</v>
      </c>
      <c r="F11" s="133"/>
      <c r="G11" s="154">
        <f>'Spotřeba elektřiny'!BB11</f>
        <v>49.243000000000002</v>
      </c>
      <c r="H11" s="133"/>
      <c r="I11" s="133">
        <f t="shared" si="1"/>
        <v>582.02077777777777</v>
      </c>
      <c r="J11" s="128">
        <f t="shared" si="0"/>
        <v>6.8336564114557574E-2</v>
      </c>
      <c r="K11" s="80"/>
      <c r="L11" s="81"/>
      <c r="M11" s="80"/>
      <c r="N11" s="81"/>
      <c r="O11" s="133"/>
      <c r="P11" s="133"/>
      <c r="Q11" s="133"/>
      <c r="R11" s="133" t="s">
        <v>471</v>
      </c>
      <c r="S11" s="133" t="s">
        <v>468</v>
      </c>
      <c r="T11" s="133" t="s">
        <v>468</v>
      </c>
      <c r="U11" s="133" t="s">
        <v>468</v>
      </c>
      <c r="V11" s="133"/>
      <c r="W11" s="133"/>
      <c r="X11" s="133">
        <v>3</v>
      </c>
      <c r="Y11" s="145" t="s">
        <v>39</v>
      </c>
    </row>
    <row r="12" spans="1:25" ht="28.8" x14ac:dyDescent="0.3">
      <c r="A12" s="89" t="s">
        <v>44</v>
      </c>
      <c r="B12" s="146" t="s">
        <v>45</v>
      </c>
      <c r="C12" s="133" t="s">
        <v>448</v>
      </c>
      <c r="D12" s="133" t="s">
        <v>450</v>
      </c>
      <c r="E12" s="133">
        <f>'Spotřeba tepla'!BB12/3.6</f>
        <v>133.47222222222223</v>
      </c>
      <c r="F12" s="133">
        <f>'Spotřeba zemního plynu'!BB12</f>
        <v>157</v>
      </c>
      <c r="G12" s="154">
        <f>'Spotřeba elektřiny'!BB12</f>
        <v>45.457000000000001</v>
      </c>
      <c r="H12" s="133"/>
      <c r="I12" s="133">
        <f t="shared" si="1"/>
        <v>178.92922222222222</v>
      </c>
      <c r="J12" s="128">
        <f t="shared" si="0"/>
        <v>2.1008542535272467E-2</v>
      </c>
      <c r="K12" s="80"/>
      <c r="L12" s="81"/>
      <c r="M12" s="80"/>
      <c r="N12" s="81"/>
      <c r="O12" s="133"/>
      <c r="P12" s="133"/>
      <c r="Q12" s="133"/>
      <c r="R12" s="133" t="s">
        <v>470</v>
      </c>
      <c r="S12" s="133" t="s">
        <v>468</v>
      </c>
      <c r="T12" s="133" t="s">
        <v>468</v>
      </c>
      <c r="U12" s="133" t="s">
        <v>468</v>
      </c>
      <c r="V12" s="133"/>
      <c r="W12" s="133"/>
      <c r="X12" s="133">
        <v>1</v>
      </c>
      <c r="Y12" s="145" t="s">
        <v>43</v>
      </c>
    </row>
    <row r="13" spans="1:25" ht="24" x14ac:dyDescent="0.3">
      <c r="A13" s="89" t="s">
        <v>47</v>
      </c>
      <c r="B13" s="146" t="s">
        <v>48</v>
      </c>
      <c r="C13" s="133" t="s">
        <v>448</v>
      </c>
      <c r="D13" s="133"/>
      <c r="E13" s="133"/>
      <c r="F13" s="133"/>
      <c r="G13" s="154">
        <f>'Spotřeba elektřiny'!BB13</f>
        <v>15.461</v>
      </c>
      <c r="H13" s="133"/>
      <c r="I13" s="133">
        <f t="shared" si="1"/>
        <v>15.461</v>
      </c>
      <c r="J13" s="128">
        <f t="shared" si="0"/>
        <v>1.8153159785965205E-3</v>
      </c>
      <c r="K13" s="80"/>
      <c r="L13" s="81"/>
      <c r="M13" s="80"/>
      <c r="N13" s="81"/>
      <c r="O13" s="133"/>
      <c r="P13" s="133"/>
      <c r="Q13" s="133"/>
      <c r="R13" s="133"/>
      <c r="S13" s="133"/>
      <c r="T13" s="133"/>
      <c r="U13" s="133" t="s">
        <v>468</v>
      </c>
      <c r="V13" s="133"/>
      <c r="W13" s="133"/>
      <c r="X13" s="133">
        <v>1</v>
      </c>
      <c r="Y13" s="145" t="s">
        <v>46</v>
      </c>
    </row>
    <row r="14" spans="1:25" x14ac:dyDescent="0.3">
      <c r="A14" s="89" t="s">
        <v>50</v>
      </c>
      <c r="B14" s="146" t="s">
        <v>51</v>
      </c>
      <c r="C14" s="133" t="s">
        <v>448</v>
      </c>
      <c r="D14" s="133" t="s">
        <v>449</v>
      </c>
      <c r="E14" s="133">
        <f>'Spotřeba tepla'!BB14/3.6</f>
        <v>148.47222222222223</v>
      </c>
      <c r="F14" s="133">
        <f>'Spotřeba zemního plynu'!BB14</f>
        <v>341.5</v>
      </c>
      <c r="G14" s="154">
        <f>'Spotřeba elektřiny'!BB14</f>
        <v>47.478999999999999</v>
      </c>
      <c r="H14" s="133"/>
      <c r="I14" s="133">
        <f t="shared" si="1"/>
        <v>195.95122222222221</v>
      </c>
      <c r="J14" s="128">
        <f t="shared" si="0"/>
        <v>2.3007139559246981E-2</v>
      </c>
      <c r="K14" s="80"/>
      <c r="L14" s="81"/>
      <c r="M14" s="80"/>
      <c r="N14" s="81"/>
      <c r="O14" s="133"/>
      <c r="P14" s="133"/>
      <c r="Q14" s="133"/>
      <c r="R14" s="133" t="s">
        <v>470</v>
      </c>
      <c r="S14" s="133" t="s">
        <v>468</v>
      </c>
      <c r="T14" s="133" t="s">
        <v>468</v>
      </c>
      <c r="U14" s="133" t="s">
        <v>468</v>
      </c>
      <c r="V14" s="133"/>
      <c r="W14" s="133"/>
      <c r="X14" s="133">
        <v>1</v>
      </c>
      <c r="Y14" s="145" t="s">
        <v>49</v>
      </c>
    </row>
    <row r="15" spans="1:25" x14ac:dyDescent="0.3">
      <c r="A15" s="89" t="s">
        <v>53</v>
      </c>
      <c r="B15" s="146" t="s">
        <v>54</v>
      </c>
      <c r="C15" s="133" t="s">
        <v>448</v>
      </c>
      <c r="D15" s="133" t="s">
        <v>449</v>
      </c>
      <c r="E15" s="133">
        <f>'Spotřeba tepla'!BB15/3.6</f>
        <v>141.66666666666666</v>
      </c>
      <c r="F15" s="133">
        <f>'Spotřeba zemního plynu'!BB15</f>
        <v>164</v>
      </c>
      <c r="G15" s="154">
        <f>'Spotřeba elektřiny'!BB15</f>
        <v>36.253999999999998</v>
      </c>
      <c r="H15" s="133"/>
      <c r="I15" s="133">
        <f t="shared" si="1"/>
        <v>177.92066666666665</v>
      </c>
      <c r="J15" s="128">
        <f t="shared" si="0"/>
        <v>2.0890125420253883E-2</v>
      </c>
      <c r="K15" s="80"/>
      <c r="L15" s="81"/>
      <c r="M15" s="80"/>
      <c r="N15" s="81"/>
      <c r="O15" s="133"/>
      <c r="P15" s="133"/>
      <c r="Q15" s="133"/>
      <c r="R15" s="133" t="s">
        <v>470</v>
      </c>
      <c r="S15" s="133" t="s">
        <v>468</v>
      </c>
      <c r="T15" s="133" t="s">
        <v>468</v>
      </c>
      <c r="U15" s="133" t="s">
        <v>468</v>
      </c>
      <c r="V15" s="133"/>
      <c r="W15" s="133"/>
      <c r="X15" s="133">
        <v>1</v>
      </c>
      <c r="Y15" s="145" t="s">
        <v>52</v>
      </c>
    </row>
    <row r="16" spans="1:25" x14ac:dyDescent="0.3">
      <c r="A16" s="89" t="s">
        <v>56</v>
      </c>
      <c r="B16" s="146" t="s">
        <v>57</v>
      </c>
      <c r="C16" s="133" t="s">
        <v>448</v>
      </c>
      <c r="D16" s="133" t="s">
        <v>21</v>
      </c>
      <c r="E16" s="133">
        <f>'Spotřeba tepla'!BB16/3.6</f>
        <v>128.47222222222223</v>
      </c>
      <c r="F16" s="133">
        <f>'Spotřeba zemního plynu'!BB16</f>
        <v>144.5</v>
      </c>
      <c r="G16" s="154">
        <f>'Spotřeba elektřiny'!BB16</f>
        <v>42.230999999999995</v>
      </c>
      <c r="H16" s="133"/>
      <c r="I16" s="133">
        <f t="shared" si="1"/>
        <v>170.70322222222222</v>
      </c>
      <c r="J16" s="128">
        <f t="shared" si="0"/>
        <v>2.0042706610045445E-2</v>
      </c>
      <c r="K16" s="80"/>
      <c r="L16" s="81"/>
      <c r="M16" s="80"/>
      <c r="N16" s="81"/>
      <c r="O16" s="133"/>
      <c r="P16" s="133"/>
      <c r="Q16" s="133"/>
      <c r="R16" s="133" t="s">
        <v>470</v>
      </c>
      <c r="S16" s="133" t="s">
        <v>468</v>
      </c>
      <c r="T16" s="133" t="s">
        <v>468</v>
      </c>
      <c r="U16" s="133" t="s">
        <v>468</v>
      </c>
      <c r="V16" s="133"/>
      <c r="W16" s="133"/>
      <c r="X16" s="133">
        <v>1</v>
      </c>
      <c r="Y16" s="145" t="s">
        <v>55</v>
      </c>
    </row>
    <row r="17" spans="1:25" ht="28.8" x14ac:dyDescent="0.3">
      <c r="A17" s="89" t="s">
        <v>59</v>
      </c>
      <c r="B17" s="146" t="s">
        <v>60</v>
      </c>
      <c r="C17" s="133"/>
      <c r="D17" s="133"/>
      <c r="E17" s="133"/>
      <c r="F17" s="133">
        <f>'Spotřeba zemního plynu'!BB17</f>
        <v>157</v>
      </c>
      <c r="G17" s="154">
        <f>'Spotřeba elektřiny'!BB17</f>
        <v>12.043999999999999</v>
      </c>
      <c r="H17" s="133"/>
      <c r="I17" s="133">
        <f t="shared" si="1"/>
        <v>169.04400000000001</v>
      </c>
      <c r="J17" s="128">
        <f t="shared" si="0"/>
        <v>1.9847893039639755E-2</v>
      </c>
      <c r="K17" s="80"/>
      <c r="L17" s="81"/>
      <c r="M17" s="80"/>
      <c r="N17" s="81"/>
      <c r="O17" s="133"/>
      <c r="P17" s="133"/>
      <c r="Q17" s="133"/>
      <c r="R17" s="133"/>
      <c r="S17" s="133"/>
      <c r="T17" s="133"/>
      <c r="U17" s="133" t="s">
        <v>468</v>
      </c>
      <c r="V17" s="133"/>
      <c r="W17" s="133"/>
      <c r="X17" s="133">
        <v>2</v>
      </c>
      <c r="Y17" s="145" t="s">
        <v>58</v>
      </c>
    </row>
    <row r="18" spans="1:25" x14ac:dyDescent="0.3">
      <c r="A18" s="89" t="s">
        <v>62</v>
      </c>
      <c r="B18" s="146" t="s">
        <v>63</v>
      </c>
      <c r="C18" s="133" t="s">
        <v>448</v>
      </c>
      <c r="D18" s="133" t="s">
        <v>451</v>
      </c>
      <c r="E18" s="133"/>
      <c r="F18" s="133"/>
      <c r="G18" s="154">
        <f>'Spotřeba elektřiny'!BB18</f>
        <v>6.9689999999999994</v>
      </c>
      <c r="H18" s="133"/>
      <c r="I18" s="133">
        <f t="shared" si="1"/>
        <v>6.9689999999999994</v>
      </c>
      <c r="J18" s="128">
        <f t="shared" si="0"/>
        <v>8.1824830572661215E-4</v>
      </c>
      <c r="K18" s="80"/>
      <c r="L18" s="81"/>
      <c r="M18" s="80"/>
      <c r="N18" s="81"/>
      <c r="O18" s="133"/>
      <c r="P18" s="133"/>
      <c r="Q18" s="133"/>
      <c r="R18" s="133"/>
      <c r="S18" s="133"/>
      <c r="T18" s="133"/>
      <c r="U18" s="133" t="s">
        <v>468</v>
      </c>
      <c r="V18" s="133"/>
      <c r="W18" s="133"/>
      <c r="X18" s="133">
        <v>1</v>
      </c>
      <c r="Y18" s="145" t="s">
        <v>61</v>
      </c>
    </row>
    <row r="19" spans="1:25" ht="28.8" x14ac:dyDescent="0.3">
      <c r="A19" s="89" t="s">
        <v>65</v>
      </c>
      <c r="B19" s="146" t="s">
        <v>66</v>
      </c>
      <c r="C19" s="133" t="s">
        <v>448</v>
      </c>
      <c r="D19" s="133" t="s">
        <v>449</v>
      </c>
      <c r="E19" s="133"/>
      <c r="F19" s="133"/>
      <c r="G19" s="154">
        <f>'Spotřeba elektřiny'!BB19</f>
        <v>12.827</v>
      </c>
      <c r="H19" s="133"/>
      <c r="I19" s="133">
        <f t="shared" si="1"/>
        <v>12.827</v>
      </c>
      <c r="J19" s="128">
        <f t="shared" si="0"/>
        <v>1.5060512293808659E-3</v>
      </c>
      <c r="K19" s="80"/>
      <c r="L19" s="81"/>
      <c r="M19" s="80"/>
      <c r="N19" s="81"/>
      <c r="O19" s="133"/>
      <c r="P19" s="133"/>
      <c r="Q19" s="133"/>
      <c r="R19" s="133"/>
      <c r="S19" s="133"/>
      <c r="T19" s="133"/>
      <c r="U19" s="133" t="s">
        <v>468</v>
      </c>
      <c r="V19" s="133"/>
      <c r="W19" s="133"/>
      <c r="X19" s="133">
        <v>2</v>
      </c>
      <c r="Y19" s="145" t="s">
        <v>64</v>
      </c>
    </row>
    <row r="20" spans="1:25" x14ac:dyDescent="0.3">
      <c r="A20" s="89" t="s">
        <v>68</v>
      </c>
      <c r="B20" s="146" t="s">
        <v>69</v>
      </c>
      <c r="C20" s="133" t="s">
        <v>448</v>
      </c>
      <c r="D20" s="133" t="s">
        <v>449</v>
      </c>
      <c r="E20" s="133"/>
      <c r="F20" s="133"/>
      <c r="G20" s="154">
        <f>'Spotřeba elektřiny'!BB20</f>
        <v>0</v>
      </c>
      <c r="H20" s="133"/>
      <c r="I20" s="133">
        <f t="shared" si="1"/>
        <v>0</v>
      </c>
      <c r="J20" s="128">
        <f t="shared" si="0"/>
        <v>0</v>
      </c>
      <c r="K20" s="80"/>
      <c r="L20" s="81"/>
      <c r="M20" s="80"/>
      <c r="N20" s="81"/>
      <c r="O20" s="133"/>
      <c r="P20" s="133"/>
      <c r="Q20" s="133"/>
      <c r="R20" s="133"/>
      <c r="S20" s="133"/>
      <c r="T20" s="133"/>
      <c r="U20" s="133" t="s">
        <v>468</v>
      </c>
      <c r="V20" s="133"/>
      <c r="W20" s="133"/>
      <c r="X20" s="133">
        <v>1</v>
      </c>
      <c r="Y20" s="145" t="s">
        <v>67</v>
      </c>
    </row>
    <row r="21" spans="1:25" ht="28.8" x14ac:dyDescent="0.3">
      <c r="A21" s="89" t="s">
        <v>47</v>
      </c>
      <c r="B21" s="146" t="s">
        <v>71</v>
      </c>
      <c r="C21" s="133" t="s">
        <v>448</v>
      </c>
      <c r="D21" s="133" t="s">
        <v>463</v>
      </c>
      <c r="E21" s="133"/>
      <c r="F21" s="133"/>
      <c r="G21" s="154">
        <f>'Spotřeba elektřiny'!BB21</f>
        <v>34.051000000000002</v>
      </c>
      <c r="H21" s="133"/>
      <c r="I21" s="133">
        <f t="shared" si="1"/>
        <v>34.051000000000002</v>
      </c>
      <c r="J21" s="128">
        <f t="shared" si="0"/>
        <v>3.998015936044895E-3</v>
      </c>
      <c r="K21" s="80"/>
      <c r="L21" s="81"/>
      <c r="M21" s="80"/>
      <c r="N21" s="81"/>
      <c r="O21" s="133"/>
      <c r="P21" s="133"/>
      <c r="Q21" s="133"/>
      <c r="R21" s="133"/>
      <c r="S21" s="133"/>
      <c r="T21" s="133"/>
      <c r="U21" s="133" t="s">
        <v>468</v>
      </c>
      <c r="V21" s="133"/>
      <c r="W21" s="133"/>
      <c r="X21" s="133">
        <v>2</v>
      </c>
      <c r="Y21" s="145" t="s">
        <v>70</v>
      </c>
    </row>
    <row r="22" spans="1:25" x14ac:dyDescent="0.3">
      <c r="A22" s="89" t="s">
        <v>68</v>
      </c>
      <c r="B22" s="146" t="s">
        <v>73</v>
      </c>
      <c r="C22" s="133" t="s">
        <v>448</v>
      </c>
      <c r="D22" s="133" t="s">
        <v>449</v>
      </c>
      <c r="E22" s="133"/>
      <c r="F22" s="133"/>
      <c r="G22" s="154">
        <f>'Spotřeba elektřiny'!BB22</f>
        <v>32.247</v>
      </c>
      <c r="H22" s="133"/>
      <c r="I22" s="133">
        <f t="shared" si="1"/>
        <v>32.247</v>
      </c>
      <c r="J22" s="128">
        <f t="shared" si="0"/>
        <v>3.7862036324818574E-3</v>
      </c>
      <c r="K22" s="80"/>
      <c r="L22" s="81"/>
      <c r="M22" s="80"/>
      <c r="N22" s="81"/>
      <c r="O22" s="133"/>
      <c r="P22" s="133"/>
      <c r="Q22" s="133"/>
      <c r="R22" s="133"/>
      <c r="S22" s="133"/>
      <c r="T22" s="133"/>
      <c r="U22" s="133" t="s">
        <v>468</v>
      </c>
      <c r="V22" s="133"/>
      <c r="W22" s="133"/>
      <c r="X22" s="133">
        <v>1</v>
      </c>
      <c r="Y22" s="145" t="s">
        <v>72</v>
      </c>
    </row>
    <row r="23" spans="1:25" x14ac:dyDescent="0.3">
      <c r="A23" s="89" t="s">
        <v>68</v>
      </c>
      <c r="B23" s="146" t="s">
        <v>75</v>
      </c>
      <c r="C23" s="133" t="s">
        <v>448</v>
      </c>
      <c r="D23" s="133" t="s">
        <v>449</v>
      </c>
      <c r="E23" s="133">
        <f>'Spotřeba tepla'!BB23/3.6</f>
        <v>433.05555555555554</v>
      </c>
      <c r="F23" s="133"/>
      <c r="G23" s="154">
        <f>'Spotřeba elektřiny'!BB23</f>
        <v>6.1610000000000005</v>
      </c>
      <c r="H23" s="133"/>
      <c r="I23" s="133">
        <f t="shared" si="1"/>
        <v>439.21655555555554</v>
      </c>
      <c r="J23" s="128">
        <f t="shared" si="0"/>
        <v>5.1569551216876418E-2</v>
      </c>
      <c r="K23" s="80"/>
      <c r="L23" s="81"/>
      <c r="M23" s="80"/>
      <c r="N23" s="81"/>
      <c r="O23" s="133"/>
      <c r="P23" s="133"/>
      <c r="Q23" s="133"/>
      <c r="R23" s="133" t="s">
        <v>471</v>
      </c>
      <c r="S23" s="133" t="s">
        <v>468</v>
      </c>
      <c r="T23" s="133" t="s">
        <v>468</v>
      </c>
      <c r="U23" s="133" t="s">
        <v>468</v>
      </c>
      <c r="V23" s="133"/>
      <c r="W23" s="133"/>
      <c r="X23" s="133">
        <v>1</v>
      </c>
      <c r="Y23" s="145" t="s">
        <v>74</v>
      </c>
    </row>
    <row r="24" spans="1:25" ht="28.8" x14ac:dyDescent="0.3">
      <c r="A24" s="89" t="s">
        <v>65</v>
      </c>
      <c r="B24" s="146" t="s">
        <v>77</v>
      </c>
      <c r="C24" s="133" t="s">
        <v>448</v>
      </c>
      <c r="D24" s="133" t="s">
        <v>449</v>
      </c>
      <c r="E24" s="133"/>
      <c r="F24" s="133"/>
      <c r="G24" s="154">
        <f>'Spotřeba elektřiny'!BB24</f>
        <v>15.34</v>
      </c>
      <c r="H24" s="133"/>
      <c r="I24" s="133">
        <f t="shared" si="1"/>
        <v>15.34</v>
      </c>
      <c r="J24" s="128">
        <f t="shared" si="0"/>
        <v>1.8011090557965607E-3</v>
      </c>
      <c r="K24" s="80"/>
      <c r="L24" s="81"/>
      <c r="M24" s="80"/>
      <c r="N24" s="81"/>
      <c r="O24" s="133"/>
      <c r="P24" s="133"/>
      <c r="Q24" s="133"/>
      <c r="R24" s="133"/>
      <c r="S24" s="133"/>
      <c r="T24" s="133"/>
      <c r="U24" s="133" t="s">
        <v>468</v>
      </c>
      <c r="V24" s="133"/>
      <c r="W24" s="133"/>
      <c r="X24" s="133">
        <v>2</v>
      </c>
      <c r="Y24" s="145" t="s">
        <v>76</v>
      </c>
    </row>
    <row r="25" spans="1:25" x14ac:dyDescent="0.3">
      <c r="A25" s="89" t="s">
        <v>79</v>
      </c>
      <c r="B25" s="146" t="s">
        <v>80</v>
      </c>
      <c r="C25" s="133" t="s">
        <v>448</v>
      </c>
      <c r="D25" s="133" t="s">
        <v>449</v>
      </c>
      <c r="E25" s="133"/>
      <c r="F25" s="133"/>
      <c r="G25" s="154">
        <f>'Spotřeba elektřiny'!BB25</f>
        <v>17.997999999999998</v>
      </c>
      <c r="H25" s="133"/>
      <c r="I25" s="133">
        <f t="shared" si="1"/>
        <v>17.997999999999998</v>
      </c>
      <c r="J25" s="128">
        <f t="shared" si="0"/>
        <v>2.1131917070551821E-3</v>
      </c>
      <c r="K25" s="80"/>
      <c r="L25" s="81"/>
      <c r="M25" s="80"/>
      <c r="N25" s="81"/>
      <c r="O25" s="133"/>
      <c r="P25" s="133"/>
      <c r="Q25" s="133"/>
      <c r="R25" s="133"/>
      <c r="S25" s="133"/>
      <c r="T25" s="133"/>
      <c r="U25" s="133" t="s">
        <v>468</v>
      </c>
      <c r="V25" s="133"/>
      <c r="W25" s="133"/>
      <c r="X25" s="133">
        <v>1</v>
      </c>
      <c r="Y25" s="145" t="s">
        <v>78</v>
      </c>
    </row>
    <row r="26" spans="1:25" x14ac:dyDescent="0.3">
      <c r="A26" s="89" t="s">
        <v>82</v>
      </c>
      <c r="B26" s="146" t="s">
        <v>83</v>
      </c>
      <c r="C26" s="133" t="s">
        <v>448</v>
      </c>
      <c r="D26" s="133" t="s">
        <v>449</v>
      </c>
      <c r="E26" s="133"/>
      <c r="F26" s="133"/>
      <c r="G26" s="154">
        <f>'Spotřeba elektřiny'!BB26</f>
        <v>13.058999999999999</v>
      </c>
      <c r="H26" s="133"/>
      <c r="I26" s="133">
        <f t="shared" si="1"/>
        <v>13.058999999999999</v>
      </c>
      <c r="J26" s="128">
        <f t="shared" si="0"/>
        <v>1.5332909491295491E-3</v>
      </c>
      <c r="K26" s="80"/>
      <c r="L26" s="81"/>
      <c r="M26" s="80"/>
      <c r="N26" s="81"/>
      <c r="O26" s="133"/>
      <c r="P26" s="133"/>
      <c r="Q26" s="133"/>
      <c r="R26" s="133"/>
      <c r="S26" s="133"/>
      <c r="T26" s="133"/>
      <c r="U26" s="133" t="s">
        <v>468</v>
      </c>
      <c r="V26" s="133"/>
      <c r="W26" s="133"/>
      <c r="X26" s="133">
        <v>1</v>
      </c>
      <c r="Y26" s="145" t="s">
        <v>81</v>
      </c>
    </row>
    <row r="27" spans="1:25" x14ac:dyDescent="0.3">
      <c r="A27" s="89" t="s">
        <v>85</v>
      </c>
      <c r="B27" s="146" t="s">
        <v>86</v>
      </c>
      <c r="C27" s="133" t="s">
        <v>448</v>
      </c>
      <c r="D27" s="133" t="s">
        <v>449</v>
      </c>
      <c r="E27" s="133">
        <f>'Spotřeba tepla'!BB27/3.6</f>
        <v>90.138888888888886</v>
      </c>
      <c r="F27" s="133"/>
      <c r="G27" s="154">
        <f>'Spotřeba elektřiny'!BB27</f>
        <v>5.1859999999999999</v>
      </c>
      <c r="H27" s="133"/>
      <c r="I27" s="133">
        <f t="shared" si="1"/>
        <v>95.324888888888893</v>
      </c>
      <c r="J27" s="128">
        <f t="shared" si="0"/>
        <v>1.1192341631067713E-2</v>
      </c>
      <c r="K27" s="80"/>
      <c r="L27" s="81"/>
      <c r="M27" s="80"/>
      <c r="N27" s="81"/>
      <c r="O27" s="133"/>
      <c r="P27" s="133"/>
      <c r="Q27" s="133"/>
      <c r="R27" s="133" t="s">
        <v>471</v>
      </c>
      <c r="S27" s="133" t="s">
        <v>468</v>
      </c>
      <c r="T27" s="133" t="s">
        <v>468</v>
      </c>
      <c r="U27" s="133" t="s">
        <v>468</v>
      </c>
      <c r="V27" s="133"/>
      <c r="W27" s="133"/>
      <c r="X27" s="133">
        <v>1</v>
      </c>
      <c r="Y27" s="145" t="s">
        <v>84</v>
      </c>
    </row>
    <row r="28" spans="1:25" ht="28.8" x14ac:dyDescent="0.3">
      <c r="A28" s="89" t="s">
        <v>47</v>
      </c>
      <c r="B28" s="146" t="s">
        <v>88</v>
      </c>
      <c r="C28" s="133" t="s">
        <v>448</v>
      </c>
      <c r="D28" s="133" t="s">
        <v>463</v>
      </c>
      <c r="E28" s="133">
        <f>'Spotřeba tepla'!BB28/3.6</f>
        <v>60.972222222222221</v>
      </c>
      <c r="F28" s="133"/>
      <c r="G28" s="154">
        <f>'Spotřeba elektřiny'!BB28</f>
        <v>1.31</v>
      </c>
      <c r="H28" s="133"/>
      <c r="I28" s="133">
        <f t="shared" si="1"/>
        <v>62.282222222222224</v>
      </c>
      <c r="J28" s="128">
        <f t="shared" si="0"/>
        <v>7.312716718355817E-3</v>
      </c>
      <c r="K28" s="80"/>
      <c r="L28" s="81"/>
      <c r="M28" s="80"/>
      <c r="N28" s="81"/>
      <c r="O28" s="133"/>
      <c r="P28" s="133"/>
      <c r="Q28" s="133"/>
      <c r="R28" s="133" t="s">
        <v>471</v>
      </c>
      <c r="S28" s="133"/>
      <c r="T28" s="133"/>
      <c r="U28" s="133" t="s">
        <v>468</v>
      </c>
      <c r="V28" s="133"/>
      <c r="W28" s="133"/>
      <c r="X28" s="133">
        <v>2</v>
      </c>
      <c r="Y28" s="145" t="s">
        <v>87</v>
      </c>
    </row>
    <row r="29" spans="1:25" x14ac:dyDescent="0.3">
      <c r="A29" s="89" t="s">
        <v>53</v>
      </c>
      <c r="B29" s="146" t="s">
        <v>90</v>
      </c>
      <c r="C29" s="133" t="s">
        <v>448</v>
      </c>
      <c r="D29" s="133" t="s">
        <v>464</v>
      </c>
      <c r="E29" s="133"/>
      <c r="F29" s="133"/>
      <c r="G29" s="154">
        <f>'Spotřeba elektřiny'!BB29</f>
        <v>17.093999999999998</v>
      </c>
      <c r="H29" s="133"/>
      <c r="I29" s="133">
        <f t="shared" si="1"/>
        <v>17.093999999999998</v>
      </c>
      <c r="J29" s="128">
        <f t="shared" si="0"/>
        <v>2.0070507301034163E-3</v>
      </c>
      <c r="K29" s="80"/>
      <c r="L29" s="81"/>
      <c r="M29" s="80"/>
      <c r="N29" s="81"/>
      <c r="O29" s="133"/>
      <c r="P29" s="133"/>
      <c r="Q29" s="133"/>
      <c r="R29" s="133"/>
      <c r="S29" s="133"/>
      <c r="T29" s="133"/>
      <c r="U29" s="133" t="s">
        <v>468</v>
      </c>
      <c r="V29" s="133"/>
      <c r="W29" s="133"/>
      <c r="X29" s="133">
        <v>1</v>
      </c>
      <c r="Y29" s="145" t="s">
        <v>89</v>
      </c>
    </row>
    <row r="30" spans="1:25" x14ac:dyDescent="0.3">
      <c r="A30" s="89" t="s">
        <v>92</v>
      </c>
      <c r="B30" s="146" t="s">
        <v>93</v>
      </c>
      <c r="C30" s="133" t="s">
        <v>448</v>
      </c>
      <c r="D30" s="133" t="s">
        <v>449</v>
      </c>
      <c r="E30" s="133"/>
      <c r="F30" s="133"/>
      <c r="G30" s="154">
        <f>'Spotřeba elektřiny'!BB30</f>
        <v>0.70199999999999996</v>
      </c>
      <c r="H30" s="133"/>
      <c r="I30" s="133">
        <f t="shared" si="1"/>
        <v>0.70199999999999996</v>
      </c>
      <c r="J30" s="128">
        <f t="shared" si="0"/>
        <v>8.2423634756791759E-5</v>
      </c>
      <c r="K30" s="80"/>
      <c r="L30" s="81"/>
      <c r="M30" s="80"/>
      <c r="N30" s="81"/>
      <c r="O30" s="133"/>
      <c r="P30" s="133"/>
      <c r="Q30" s="133"/>
      <c r="R30" s="133"/>
      <c r="S30" s="133"/>
      <c r="T30" s="133"/>
      <c r="U30" s="133" t="s">
        <v>468</v>
      </c>
      <c r="V30" s="133"/>
      <c r="W30" s="133"/>
      <c r="X30" s="133">
        <v>1</v>
      </c>
      <c r="Y30" s="145" t="s">
        <v>91</v>
      </c>
    </row>
    <row r="31" spans="1:25" x14ac:dyDescent="0.3">
      <c r="A31" s="89" t="s">
        <v>95</v>
      </c>
      <c r="B31" s="146" t="s">
        <v>96</v>
      </c>
      <c r="C31" s="133" t="s">
        <v>448</v>
      </c>
      <c r="D31" s="133" t="s">
        <v>449</v>
      </c>
      <c r="E31" s="133">
        <f>'Spotřeba tepla'!BB31/3.6</f>
        <v>208.75</v>
      </c>
      <c r="F31" s="133"/>
      <c r="G31" s="154">
        <f>'Spotřeba elektřiny'!BB31</f>
        <v>11.113</v>
      </c>
      <c r="H31" s="133"/>
      <c r="I31" s="133">
        <f t="shared" si="1"/>
        <v>219.863</v>
      </c>
      <c r="J31" s="128">
        <f t="shared" si="0"/>
        <v>2.5814683203037758E-2</v>
      </c>
      <c r="K31" s="80"/>
      <c r="L31" s="81"/>
      <c r="M31" s="80"/>
      <c r="N31" s="81"/>
      <c r="O31" s="133"/>
      <c r="P31" s="133"/>
      <c r="Q31" s="133"/>
      <c r="R31" s="133" t="s">
        <v>471</v>
      </c>
      <c r="S31" s="133" t="s">
        <v>468</v>
      </c>
      <c r="T31" s="133" t="s">
        <v>468</v>
      </c>
      <c r="U31" s="133" t="s">
        <v>468</v>
      </c>
      <c r="V31" s="133"/>
      <c r="W31" s="133"/>
      <c r="X31" s="133">
        <v>1</v>
      </c>
      <c r="Y31" s="145" t="s">
        <v>94</v>
      </c>
    </row>
    <row r="32" spans="1:25" ht="43.2" x14ac:dyDescent="0.3">
      <c r="A32" s="89" t="s">
        <v>53</v>
      </c>
      <c r="B32" s="146" t="s">
        <v>98</v>
      </c>
      <c r="C32" s="133" t="s">
        <v>448</v>
      </c>
      <c r="D32" s="133" t="s">
        <v>449</v>
      </c>
      <c r="E32" s="133"/>
      <c r="F32" s="133"/>
      <c r="G32" s="154">
        <f>'Spotřeba elektřiny'!BB32</f>
        <v>9.2199999999999989</v>
      </c>
      <c r="H32" s="133"/>
      <c r="I32" s="133">
        <f t="shared" si="1"/>
        <v>9.2199999999999989</v>
      </c>
      <c r="J32" s="128">
        <f t="shared" si="0"/>
        <v>1.0825440348399143E-3</v>
      </c>
      <c r="K32" s="80"/>
      <c r="L32" s="81"/>
      <c r="M32" s="80"/>
      <c r="N32" s="81"/>
      <c r="O32" s="133"/>
      <c r="P32" s="133"/>
      <c r="Q32" s="133"/>
      <c r="R32" s="133"/>
      <c r="S32" s="133"/>
      <c r="T32" s="133"/>
      <c r="U32" s="133" t="s">
        <v>468</v>
      </c>
      <c r="V32" s="133"/>
      <c r="W32" s="133"/>
      <c r="X32" s="133">
        <v>3</v>
      </c>
      <c r="Y32" s="145" t="s">
        <v>97</v>
      </c>
    </row>
    <row r="33" spans="1:25" x14ac:dyDescent="0.3">
      <c r="A33" s="89" t="s">
        <v>65</v>
      </c>
      <c r="B33" s="146" t="s">
        <v>100</v>
      </c>
      <c r="C33" s="133" t="s">
        <v>448</v>
      </c>
      <c r="D33" s="133" t="s">
        <v>449</v>
      </c>
      <c r="E33" s="133"/>
      <c r="F33" s="133"/>
      <c r="G33" s="154">
        <f>'Spotřeba elektřiny'!BB33</f>
        <v>6.8569999999999993</v>
      </c>
      <c r="H33" s="133"/>
      <c r="I33" s="133">
        <f t="shared" si="1"/>
        <v>6.8569999999999993</v>
      </c>
      <c r="J33" s="128">
        <f t="shared" si="0"/>
        <v>8.0509809619276498E-4</v>
      </c>
      <c r="K33" s="80"/>
      <c r="L33" s="81"/>
      <c r="M33" s="80"/>
      <c r="N33" s="81"/>
      <c r="O33" s="133"/>
      <c r="P33" s="133"/>
      <c r="Q33" s="133"/>
      <c r="R33" s="133"/>
      <c r="S33" s="133"/>
      <c r="T33" s="133"/>
      <c r="U33" s="133" t="s">
        <v>468</v>
      </c>
      <c r="V33" s="133"/>
      <c r="W33" s="133"/>
      <c r="X33" s="133">
        <v>6</v>
      </c>
      <c r="Y33" s="145" t="s">
        <v>99</v>
      </c>
    </row>
    <row r="34" spans="1:25" ht="100.8" x14ac:dyDescent="0.3">
      <c r="A34" s="89" t="s">
        <v>102</v>
      </c>
      <c r="B34" s="146" t="s">
        <v>103</v>
      </c>
      <c r="C34" s="133" t="s">
        <v>448</v>
      </c>
      <c r="D34" s="133" t="s">
        <v>461</v>
      </c>
      <c r="E34" s="133">
        <f>'Spotřeba tepla'!BB34/3.6</f>
        <v>440.13888888888886</v>
      </c>
      <c r="F34" s="133">
        <f>'Spotřeba zemního plynu'!BB34</f>
        <v>506</v>
      </c>
      <c r="G34" s="154">
        <f>'Spotřeba elektřiny'!BB34</f>
        <v>21.582000000000001</v>
      </c>
      <c r="H34" s="133"/>
      <c r="I34" s="133">
        <f t="shared" si="1"/>
        <v>461.72088888888885</v>
      </c>
      <c r="J34" s="128">
        <f t="shared" si="0"/>
        <v>5.4211843170027071E-2</v>
      </c>
      <c r="K34" s="80"/>
      <c r="L34" s="81"/>
      <c r="M34" s="80"/>
      <c r="N34" s="81"/>
      <c r="O34" s="133"/>
      <c r="P34" s="133"/>
      <c r="Q34" s="133"/>
      <c r="R34" s="133" t="s">
        <v>470</v>
      </c>
      <c r="S34" s="133" t="s">
        <v>468</v>
      </c>
      <c r="T34" s="133" t="s">
        <v>468</v>
      </c>
      <c r="U34" s="133" t="s">
        <v>468</v>
      </c>
      <c r="V34" s="133"/>
      <c r="W34" s="133"/>
      <c r="X34" s="133">
        <v>7</v>
      </c>
      <c r="Y34" s="145" t="s">
        <v>101</v>
      </c>
    </row>
    <row r="35" spans="1:25" ht="28.8" x14ac:dyDescent="0.3">
      <c r="A35" s="89" t="s">
        <v>105</v>
      </c>
      <c r="B35" s="146" t="s">
        <v>106</v>
      </c>
      <c r="C35" s="133" t="s">
        <v>448</v>
      </c>
      <c r="D35" s="133" t="s">
        <v>105</v>
      </c>
      <c r="E35" s="133"/>
      <c r="F35" s="133"/>
      <c r="G35" s="154">
        <f>'Spotřeba elektřiny'!BB35</f>
        <v>3.0590000000000002</v>
      </c>
      <c r="H35" s="133"/>
      <c r="I35" s="133">
        <f t="shared" si="1"/>
        <v>3.0590000000000002</v>
      </c>
      <c r="J35" s="128">
        <f t="shared" si="0"/>
        <v>3.5916509789319945E-4</v>
      </c>
      <c r="K35" s="80"/>
      <c r="L35" s="81"/>
      <c r="M35" s="80"/>
      <c r="N35" s="81"/>
      <c r="O35" s="133"/>
      <c r="P35" s="133"/>
      <c r="Q35" s="133"/>
      <c r="R35" s="133"/>
      <c r="S35" s="133" t="s">
        <v>468</v>
      </c>
      <c r="T35" s="133" t="s">
        <v>468</v>
      </c>
      <c r="U35" s="133" t="s">
        <v>468</v>
      </c>
      <c r="V35" s="133"/>
      <c r="W35" s="133"/>
      <c r="X35" s="133">
        <v>2</v>
      </c>
      <c r="Y35" s="145" t="s">
        <v>104</v>
      </c>
    </row>
    <row r="36" spans="1:25" x14ac:dyDescent="0.3">
      <c r="A36" s="89" t="s">
        <v>108</v>
      </c>
      <c r="B36" s="146" t="s">
        <v>109</v>
      </c>
      <c r="C36" s="133"/>
      <c r="D36" s="133"/>
      <c r="E36" s="133"/>
      <c r="F36" s="133"/>
      <c r="G36" s="154">
        <f>'Spotřeba elektřiny'!BB36</f>
        <v>3.9520000000000004</v>
      </c>
      <c r="H36" s="133"/>
      <c r="I36" s="133">
        <f t="shared" si="1"/>
        <v>3.9520000000000004</v>
      </c>
      <c r="J36" s="128">
        <f t="shared" ref="J36:J67" si="2">I36/$I$179</f>
        <v>4.6401453640860553E-4</v>
      </c>
      <c r="K36" s="80"/>
      <c r="L36" s="81"/>
      <c r="M36" s="80"/>
      <c r="N36" s="81"/>
      <c r="O36" s="133"/>
      <c r="P36" s="133"/>
      <c r="Q36" s="133"/>
      <c r="R36" s="133"/>
      <c r="S36" s="133"/>
      <c r="T36" s="133"/>
      <c r="U36" s="133" t="s">
        <v>468</v>
      </c>
      <c r="V36" s="133"/>
      <c r="W36" s="133"/>
      <c r="X36" s="133">
        <v>1</v>
      </c>
      <c r="Y36" s="145" t="s">
        <v>107</v>
      </c>
    </row>
    <row r="37" spans="1:25" ht="28.8" x14ac:dyDescent="0.3">
      <c r="A37" s="89" t="s">
        <v>111</v>
      </c>
      <c r="B37" s="146" t="s">
        <v>112</v>
      </c>
      <c r="C37" s="133" t="s">
        <v>448</v>
      </c>
      <c r="D37" s="133" t="s">
        <v>449</v>
      </c>
      <c r="E37" s="133">
        <f>'Spotřeba tepla'!BB37/3.6</f>
        <v>83.888888888888886</v>
      </c>
      <c r="F37" s="133"/>
      <c r="G37" s="154">
        <f>'Spotřeba elektřiny'!BB37</f>
        <v>1.6050000000000002</v>
      </c>
      <c r="H37" s="133"/>
      <c r="I37" s="133">
        <f t="shared" si="1"/>
        <v>85.49388888888889</v>
      </c>
      <c r="J37" s="128">
        <f t="shared" si="2"/>
        <v>1.0038058506717257E-2</v>
      </c>
      <c r="K37" s="80"/>
      <c r="L37" s="81"/>
      <c r="M37" s="80"/>
      <c r="N37" s="81"/>
      <c r="O37" s="133"/>
      <c r="P37" s="133"/>
      <c r="Q37" s="133"/>
      <c r="R37" s="133" t="s">
        <v>471</v>
      </c>
      <c r="S37" s="133" t="s">
        <v>468</v>
      </c>
      <c r="T37" s="133" t="s">
        <v>468</v>
      </c>
      <c r="U37" s="133" t="s">
        <v>468</v>
      </c>
      <c r="V37" s="133"/>
      <c r="W37" s="133"/>
      <c r="X37" s="133">
        <v>2</v>
      </c>
      <c r="Y37" s="145" t="s">
        <v>110</v>
      </c>
    </row>
    <row r="38" spans="1:25" x14ac:dyDescent="0.3">
      <c r="A38" s="89" t="s">
        <v>108</v>
      </c>
      <c r="B38" s="146" t="s">
        <v>114</v>
      </c>
      <c r="C38" s="133"/>
      <c r="D38" s="133"/>
      <c r="E38" s="133"/>
      <c r="F38" s="133"/>
      <c r="G38" s="154">
        <f>'Spotřeba elektřiny'!BB38</f>
        <v>0</v>
      </c>
      <c r="H38" s="133"/>
      <c r="I38" s="133">
        <f t="shared" si="1"/>
        <v>0</v>
      </c>
      <c r="J38" s="128">
        <f t="shared" si="2"/>
        <v>0</v>
      </c>
      <c r="K38" s="80"/>
      <c r="L38" s="81"/>
      <c r="M38" s="80"/>
      <c r="N38" s="81"/>
      <c r="O38" s="133"/>
      <c r="P38" s="133"/>
      <c r="Q38" s="133"/>
      <c r="R38" s="133"/>
      <c r="S38" s="133"/>
      <c r="T38" s="133"/>
      <c r="U38" s="133" t="s">
        <v>468</v>
      </c>
      <c r="V38" s="133"/>
      <c r="W38" s="133"/>
      <c r="X38" s="133">
        <v>1</v>
      </c>
      <c r="Y38" s="145" t="s">
        <v>113</v>
      </c>
    </row>
    <row r="39" spans="1:25" x14ac:dyDescent="0.3">
      <c r="A39" s="89" t="s">
        <v>108</v>
      </c>
      <c r="B39" s="146" t="s">
        <v>116</v>
      </c>
      <c r="C39" s="133"/>
      <c r="D39" s="133"/>
      <c r="E39" s="133"/>
      <c r="F39" s="133"/>
      <c r="G39" s="154">
        <f>'Spotřeba elektřiny'!BB39</f>
        <v>10.82</v>
      </c>
      <c r="H39" s="133"/>
      <c r="I39" s="133">
        <f t="shared" si="1"/>
        <v>10.82</v>
      </c>
      <c r="J39" s="128">
        <f t="shared" si="2"/>
        <v>1.2704041710377306E-3</v>
      </c>
      <c r="K39" s="80"/>
      <c r="L39" s="81"/>
      <c r="M39" s="80"/>
      <c r="N39" s="81"/>
      <c r="O39" s="133"/>
      <c r="P39" s="133"/>
      <c r="Q39" s="133"/>
      <c r="R39" s="133"/>
      <c r="S39" s="133"/>
      <c r="T39" s="133"/>
      <c r="U39" s="133" t="s">
        <v>468</v>
      </c>
      <c r="V39" s="133"/>
      <c r="W39" s="133"/>
      <c r="X39" s="133">
        <v>1</v>
      </c>
      <c r="Y39" s="145" t="s">
        <v>115</v>
      </c>
    </row>
    <row r="40" spans="1:25" x14ac:dyDescent="0.3">
      <c r="A40" s="89" t="s">
        <v>68</v>
      </c>
      <c r="B40" s="146" t="s">
        <v>118</v>
      </c>
      <c r="C40" s="133" t="s">
        <v>448</v>
      </c>
      <c r="D40" s="133" t="s">
        <v>449</v>
      </c>
      <c r="E40" s="133">
        <f>'Spotřeba tepla'!BB40/3.6</f>
        <v>107.08333333333333</v>
      </c>
      <c r="F40" s="133"/>
      <c r="G40" s="154">
        <f>'Spotřeba elektřiny'!BB40</f>
        <v>1.28</v>
      </c>
      <c r="H40" s="133"/>
      <c r="I40" s="133">
        <f t="shared" ref="I40:I71" si="3">G40+IF(E40&gt;0,E40,F40)</f>
        <v>108.36333333333333</v>
      </c>
      <c r="J40" s="128">
        <f t="shared" si="2"/>
        <v>1.2723219099280831E-2</v>
      </c>
      <c r="K40" s="80"/>
      <c r="L40" s="81"/>
      <c r="M40" s="80"/>
      <c r="N40" s="81"/>
      <c r="O40" s="133"/>
      <c r="P40" s="133"/>
      <c r="Q40" s="133"/>
      <c r="R40" s="133" t="s">
        <v>471</v>
      </c>
      <c r="S40" s="133" t="s">
        <v>468</v>
      </c>
      <c r="T40" s="133" t="s">
        <v>468</v>
      </c>
      <c r="U40" s="133" t="s">
        <v>468</v>
      </c>
      <c r="V40" s="133"/>
      <c r="W40" s="133"/>
      <c r="X40" s="133">
        <v>1</v>
      </c>
      <c r="Y40" s="145" t="s">
        <v>117</v>
      </c>
    </row>
    <row r="41" spans="1:25" x14ac:dyDescent="0.3">
      <c r="A41" s="89" t="s">
        <v>120</v>
      </c>
      <c r="B41" s="146" t="s">
        <v>121</v>
      </c>
      <c r="C41" s="133" t="s">
        <v>448</v>
      </c>
      <c r="D41" s="133" t="s">
        <v>465</v>
      </c>
      <c r="E41" s="133">
        <f>'Spotřeba tepla'!BB41/3.6</f>
        <v>86.25</v>
      </c>
      <c r="F41" s="133">
        <f>'Spotřeba zemního plynu'!BB41</f>
        <v>216.5</v>
      </c>
      <c r="G41" s="154">
        <f>'Spotřeba elektřiny'!BB41</f>
        <v>9.0539999999999985</v>
      </c>
      <c r="H41" s="133"/>
      <c r="I41" s="133">
        <f t="shared" si="3"/>
        <v>95.304000000000002</v>
      </c>
      <c r="J41" s="128">
        <f t="shared" si="2"/>
        <v>1.1189889012622909E-2</v>
      </c>
      <c r="K41" s="80"/>
      <c r="L41" s="81"/>
      <c r="M41" s="80"/>
      <c r="N41" s="81"/>
      <c r="O41" s="133"/>
      <c r="P41" s="133"/>
      <c r="Q41" s="133"/>
      <c r="R41" s="133" t="s">
        <v>470</v>
      </c>
      <c r="S41" s="133" t="s">
        <v>468</v>
      </c>
      <c r="T41" s="133" t="s">
        <v>468</v>
      </c>
      <c r="U41" s="133" t="s">
        <v>468</v>
      </c>
      <c r="V41" s="133"/>
      <c r="W41" s="133"/>
      <c r="X41" s="133">
        <v>1</v>
      </c>
      <c r="Y41" s="145" t="s">
        <v>119</v>
      </c>
    </row>
    <row r="42" spans="1:25" x14ac:dyDescent="0.3">
      <c r="A42" s="89" t="s">
        <v>108</v>
      </c>
      <c r="B42" s="146" t="s">
        <v>123</v>
      </c>
      <c r="C42" s="133"/>
      <c r="D42" s="133"/>
      <c r="E42" s="133"/>
      <c r="F42" s="133"/>
      <c r="G42" s="154">
        <f>'Spotřeba elektřiny'!BB42</f>
        <v>1.643</v>
      </c>
      <c r="H42" s="133"/>
      <c r="I42" s="133">
        <f t="shared" si="3"/>
        <v>1.643</v>
      </c>
      <c r="J42" s="128">
        <f t="shared" si="2"/>
        <v>1.9290887735813229E-4</v>
      </c>
      <c r="K42" s="80"/>
      <c r="L42" s="81"/>
      <c r="M42" s="80"/>
      <c r="N42" s="81"/>
      <c r="O42" s="133"/>
      <c r="P42" s="133"/>
      <c r="Q42" s="133"/>
      <c r="R42" s="133"/>
      <c r="S42" s="133"/>
      <c r="T42" s="133"/>
      <c r="U42" s="133" t="s">
        <v>468</v>
      </c>
      <c r="V42" s="133"/>
      <c r="W42" s="133"/>
      <c r="X42" s="133">
        <v>1</v>
      </c>
      <c r="Y42" s="145" t="s">
        <v>122</v>
      </c>
    </row>
    <row r="43" spans="1:25" x14ac:dyDescent="0.3">
      <c r="A43" s="89" t="s">
        <v>108</v>
      </c>
      <c r="B43" s="146" t="s">
        <v>125</v>
      </c>
      <c r="C43" s="133"/>
      <c r="D43" s="133"/>
      <c r="E43" s="133">
        <f>'Spotřeba tepla'!BB43/3.6</f>
        <v>75.972222222222214</v>
      </c>
      <c r="F43" s="133">
        <f>'Spotřeba zemního plynu'!BB43</f>
        <v>93.5</v>
      </c>
      <c r="G43" s="154">
        <f>'Spotřeba elektřiny'!BB43</f>
        <v>1.04</v>
      </c>
      <c r="H43" s="133"/>
      <c r="I43" s="133">
        <f t="shared" si="3"/>
        <v>77.012222222222221</v>
      </c>
      <c r="J43" s="128">
        <f t="shared" si="2"/>
        <v>9.0422040972269607E-3</v>
      </c>
      <c r="K43" s="80"/>
      <c r="L43" s="81"/>
      <c r="M43" s="80"/>
      <c r="N43" s="81"/>
      <c r="O43" s="133"/>
      <c r="P43" s="133"/>
      <c r="Q43" s="133"/>
      <c r="R43" s="133" t="s">
        <v>470</v>
      </c>
      <c r="S43" s="133"/>
      <c r="T43" s="133"/>
      <c r="U43" s="133" t="s">
        <v>468</v>
      </c>
      <c r="V43" s="133"/>
      <c r="W43" s="133"/>
      <c r="X43" s="133">
        <v>1</v>
      </c>
      <c r="Y43" s="145" t="s">
        <v>124</v>
      </c>
    </row>
    <row r="44" spans="1:25" x14ac:dyDescent="0.3">
      <c r="A44" s="89" t="s">
        <v>108</v>
      </c>
      <c r="B44" s="146" t="s">
        <v>127</v>
      </c>
      <c r="C44" s="133"/>
      <c r="D44" s="133"/>
      <c r="E44" s="133"/>
      <c r="F44" s="133"/>
      <c r="G44" s="154">
        <f>'Spotřeba elektřiny'!BB44</f>
        <v>2.1769999999999996</v>
      </c>
      <c r="H44" s="133"/>
      <c r="I44" s="133">
        <f t="shared" si="3"/>
        <v>2.1769999999999996</v>
      </c>
      <c r="J44" s="128">
        <f t="shared" si="2"/>
        <v>2.5560719781415333E-4</v>
      </c>
      <c r="K44" s="80"/>
      <c r="L44" s="81"/>
      <c r="M44" s="80"/>
      <c r="N44" s="81"/>
      <c r="O44" s="133"/>
      <c r="P44" s="133"/>
      <c r="Q44" s="133"/>
      <c r="R44" s="133"/>
      <c r="S44" s="133"/>
      <c r="T44" s="133"/>
      <c r="U44" s="133" t="s">
        <v>468</v>
      </c>
      <c r="V44" s="133"/>
      <c r="W44" s="133"/>
      <c r="X44" s="133">
        <v>1</v>
      </c>
      <c r="Y44" s="145" t="s">
        <v>126</v>
      </c>
    </row>
    <row r="45" spans="1:25" x14ac:dyDescent="0.3">
      <c r="A45" s="89" t="s">
        <v>129</v>
      </c>
      <c r="B45" s="146" t="s">
        <v>130</v>
      </c>
      <c r="C45" s="133" t="s">
        <v>448</v>
      </c>
      <c r="D45" s="133" t="s">
        <v>449</v>
      </c>
      <c r="E45" s="133"/>
      <c r="F45" s="133"/>
      <c r="G45" s="154">
        <f>'Spotřeba elektřiny'!BB45</f>
        <v>1.6270000000000002</v>
      </c>
      <c r="H45" s="133"/>
      <c r="I45" s="133">
        <f t="shared" si="3"/>
        <v>1.6270000000000002</v>
      </c>
      <c r="J45" s="128">
        <f t="shared" si="2"/>
        <v>1.9103027599615415E-4</v>
      </c>
      <c r="K45" s="80"/>
      <c r="L45" s="81"/>
      <c r="M45" s="80"/>
      <c r="N45" s="81"/>
      <c r="O45" s="133"/>
      <c r="P45" s="133"/>
      <c r="Q45" s="133"/>
      <c r="R45" s="133"/>
      <c r="S45" s="133"/>
      <c r="T45" s="133"/>
      <c r="U45" s="133" t="s">
        <v>468</v>
      </c>
      <c r="V45" s="133"/>
      <c r="W45" s="133"/>
      <c r="X45" s="133">
        <v>1</v>
      </c>
      <c r="Y45" s="145" t="s">
        <v>128</v>
      </c>
    </row>
    <row r="46" spans="1:25" x14ac:dyDescent="0.3">
      <c r="A46" s="89" t="s">
        <v>132</v>
      </c>
      <c r="B46" s="146" t="s">
        <v>133</v>
      </c>
      <c r="C46" s="133" t="s">
        <v>448</v>
      </c>
      <c r="D46" s="133" t="s">
        <v>449</v>
      </c>
      <c r="E46" s="133"/>
      <c r="F46" s="133">
        <f>'Spotřeba zemního plynu'!BB46</f>
        <v>57</v>
      </c>
      <c r="G46" s="154">
        <f>'Spotřeba elektřiny'!BB46</f>
        <v>3.5760000000000001</v>
      </c>
      <c r="H46" s="133"/>
      <c r="I46" s="133">
        <f t="shared" si="3"/>
        <v>60.576000000000001</v>
      </c>
      <c r="J46" s="128">
        <f t="shared" si="2"/>
        <v>7.1123847564493132E-3</v>
      </c>
      <c r="K46" s="80"/>
      <c r="L46" s="81"/>
      <c r="M46" s="80"/>
      <c r="N46" s="81"/>
      <c r="O46" s="133"/>
      <c r="P46" s="133"/>
      <c r="Q46" s="133"/>
      <c r="R46" s="133" t="s">
        <v>470</v>
      </c>
      <c r="S46" s="133"/>
      <c r="T46" s="133"/>
      <c r="U46" s="133" t="s">
        <v>468</v>
      </c>
      <c r="V46" s="133"/>
      <c r="W46" s="133"/>
      <c r="X46" s="133">
        <v>1</v>
      </c>
      <c r="Y46" s="145" t="s">
        <v>131</v>
      </c>
    </row>
    <row r="47" spans="1:25" x14ac:dyDescent="0.3">
      <c r="A47" s="89" t="s">
        <v>108</v>
      </c>
      <c r="B47" s="146" t="s">
        <v>135</v>
      </c>
      <c r="C47" s="133"/>
      <c r="D47" s="133"/>
      <c r="E47" s="133"/>
      <c r="F47" s="133"/>
      <c r="G47" s="154">
        <f>'Spotřeba elektřiny'!BB47</f>
        <v>0.216</v>
      </c>
      <c r="H47" s="133"/>
      <c r="I47" s="133">
        <f t="shared" si="3"/>
        <v>0.216</v>
      </c>
      <c r="J47" s="128">
        <f t="shared" si="2"/>
        <v>2.5361118386705156E-5</v>
      </c>
      <c r="K47" s="80"/>
      <c r="L47" s="81"/>
      <c r="M47" s="80"/>
      <c r="N47" s="81"/>
      <c r="O47" s="133"/>
      <c r="P47" s="133"/>
      <c r="Q47" s="133"/>
      <c r="R47" s="133"/>
      <c r="S47" s="133"/>
      <c r="T47" s="133"/>
      <c r="U47" s="133" t="s">
        <v>468</v>
      </c>
      <c r="V47" s="133"/>
      <c r="W47" s="133"/>
      <c r="X47" s="133">
        <v>1</v>
      </c>
      <c r="Y47" s="145" t="s">
        <v>134</v>
      </c>
    </row>
    <row r="48" spans="1:25" x14ac:dyDescent="0.3">
      <c r="A48" s="89" t="s">
        <v>82</v>
      </c>
      <c r="B48" s="146" t="s">
        <v>137</v>
      </c>
      <c r="C48" s="133" t="s">
        <v>448</v>
      </c>
      <c r="D48" s="133" t="s">
        <v>449</v>
      </c>
      <c r="E48" s="133"/>
      <c r="F48" s="133"/>
      <c r="G48" s="154">
        <f>'Spotřeba elektřiny'!BB48</f>
        <v>1.7130000000000001</v>
      </c>
      <c r="H48" s="133"/>
      <c r="I48" s="133">
        <f t="shared" si="3"/>
        <v>1.7130000000000001</v>
      </c>
      <c r="J48" s="128">
        <f t="shared" si="2"/>
        <v>2.0112775831678672E-4</v>
      </c>
      <c r="K48" s="80"/>
      <c r="L48" s="81"/>
      <c r="M48" s="80"/>
      <c r="N48" s="81"/>
      <c r="O48" s="133"/>
      <c r="P48" s="133"/>
      <c r="Q48" s="133"/>
      <c r="R48" s="133"/>
      <c r="S48" s="133"/>
      <c r="T48" s="133"/>
      <c r="U48" s="133" t="s">
        <v>468</v>
      </c>
      <c r="V48" s="133"/>
      <c r="W48" s="133"/>
      <c r="X48" s="133">
        <v>1</v>
      </c>
      <c r="Y48" s="145" t="s">
        <v>136</v>
      </c>
    </row>
    <row r="49" spans="1:25" x14ac:dyDescent="0.3">
      <c r="A49" s="89" t="s">
        <v>108</v>
      </c>
      <c r="B49" s="146" t="s">
        <v>139</v>
      </c>
      <c r="C49" s="133"/>
      <c r="D49" s="133"/>
      <c r="E49" s="133"/>
      <c r="F49" s="133"/>
      <c r="G49" s="154">
        <f>'Spotřeba elektřiny'!BB49</f>
        <v>0</v>
      </c>
      <c r="H49" s="133"/>
      <c r="I49" s="133">
        <f t="shared" si="3"/>
        <v>0</v>
      </c>
      <c r="J49" s="128">
        <f t="shared" si="2"/>
        <v>0</v>
      </c>
      <c r="K49" s="80"/>
      <c r="L49" s="81"/>
      <c r="M49" s="80"/>
      <c r="N49" s="81"/>
      <c r="O49" s="133"/>
      <c r="P49" s="133"/>
      <c r="Q49" s="133"/>
      <c r="R49" s="133"/>
      <c r="S49" s="133"/>
      <c r="T49" s="133"/>
      <c r="U49" s="133" t="s">
        <v>468</v>
      </c>
      <c r="V49" s="133"/>
      <c r="W49" s="133"/>
      <c r="X49" s="133">
        <v>1</v>
      </c>
      <c r="Y49" s="145" t="s">
        <v>138</v>
      </c>
    </row>
    <row r="50" spans="1:25" x14ac:dyDescent="0.3">
      <c r="A50" s="89" t="s">
        <v>108</v>
      </c>
      <c r="B50" s="146" t="s">
        <v>141</v>
      </c>
      <c r="C50" s="133"/>
      <c r="D50" s="133"/>
      <c r="E50" s="133"/>
      <c r="F50" s="133"/>
      <c r="G50" s="154">
        <f>'Spotřeba elektřiny'!BB50</f>
        <v>0</v>
      </c>
      <c r="H50" s="133"/>
      <c r="I50" s="133">
        <f t="shared" si="3"/>
        <v>0</v>
      </c>
      <c r="J50" s="128">
        <f t="shared" si="2"/>
        <v>0</v>
      </c>
      <c r="K50" s="80"/>
      <c r="L50" s="81"/>
      <c r="M50" s="80"/>
      <c r="N50" s="81"/>
      <c r="O50" s="133"/>
      <c r="P50" s="133"/>
      <c r="Q50" s="133"/>
      <c r="R50" s="133"/>
      <c r="S50" s="133"/>
      <c r="T50" s="133"/>
      <c r="U50" s="133" t="s">
        <v>468</v>
      </c>
      <c r="V50" s="133"/>
      <c r="W50" s="133"/>
      <c r="X50" s="133">
        <v>1</v>
      </c>
      <c r="Y50" s="145" t="s">
        <v>140</v>
      </c>
    </row>
    <row r="51" spans="1:25" x14ac:dyDescent="0.3">
      <c r="A51" s="89" t="s">
        <v>108</v>
      </c>
      <c r="B51" s="146" t="s">
        <v>143</v>
      </c>
      <c r="C51" s="133"/>
      <c r="D51" s="133"/>
      <c r="E51" s="133"/>
      <c r="F51" s="133"/>
      <c r="G51" s="154">
        <f>'Spotřeba elektřiny'!BB51</f>
        <v>0.01</v>
      </c>
      <c r="H51" s="133"/>
      <c r="I51" s="133">
        <f t="shared" si="3"/>
        <v>0.01</v>
      </c>
      <c r="J51" s="128">
        <f t="shared" si="2"/>
        <v>1.1741258512363499E-6</v>
      </c>
      <c r="K51" s="80"/>
      <c r="L51" s="81"/>
      <c r="M51" s="80"/>
      <c r="N51" s="81"/>
      <c r="O51" s="133"/>
      <c r="P51" s="133"/>
      <c r="Q51" s="133"/>
      <c r="R51" s="133"/>
      <c r="S51" s="133"/>
      <c r="T51" s="133"/>
      <c r="U51" s="133" t="s">
        <v>468</v>
      </c>
      <c r="V51" s="133"/>
      <c r="W51" s="133"/>
      <c r="X51" s="133">
        <v>1</v>
      </c>
      <c r="Y51" s="145" t="s">
        <v>142</v>
      </c>
    </row>
    <row r="52" spans="1:25" x14ac:dyDescent="0.3">
      <c r="A52" s="89" t="s">
        <v>108</v>
      </c>
      <c r="B52" s="146" t="s">
        <v>145</v>
      </c>
      <c r="C52" s="133"/>
      <c r="D52" s="133"/>
      <c r="E52" s="133"/>
      <c r="F52" s="133"/>
      <c r="G52" s="154">
        <f>'Spotřeba elektřiny'!BB52</f>
        <v>1.6719999999999999</v>
      </c>
      <c r="H52" s="133"/>
      <c r="I52" s="133">
        <f t="shared" si="3"/>
        <v>1.6719999999999999</v>
      </c>
      <c r="J52" s="128">
        <f t="shared" si="2"/>
        <v>1.963138423267177E-4</v>
      </c>
      <c r="K52" s="80"/>
      <c r="L52" s="81"/>
      <c r="M52" s="80"/>
      <c r="N52" s="81"/>
      <c r="O52" s="133"/>
      <c r="P52" s="133"/>
      <c r="Q52" s="133"/>
      <c r="R52" s="133"/>
      <c r="S52" s="133"/>
      <c r="T52" s="133"/>
      <c r="U52" s="133" t="s">
        <v>468</v>
      </c>
      <c r="V52" s="133"/>
      <c r="W52" s="133"/>
      <c r="X52" s="133">
        <v>1</v>
      </c>
      <c r="Y52" s="145" t="s">
        <v>144</v>
      </c>
    </row>
    <row r="53" spans="1:25" x14ac:dyDescent="0.3">
      <c r="A53" s="89" t="s">
        <v>147</v>
      </c>
      <c r="B53" s="146" t="s">
        <v>148</v>
      </c>
      <c r="C53" s="133" t="s">
        <v>448</v>
      </c>
      <c r="D53" s="133" t="s">
        <v>461</v>
      </c>
      <c r="E53" s="133">
        <f>'Spotřeba tepla'!BB53/3.6</f>
        <v>18.888888888888889</v>
      </c>
      <c r="F53" s="133">
        <f>'Spotřeba zemního plynu'!BB53</f>
        <v>25</v>
      </c>
      <c r="G53" s="154">
        <f>'Spotřeba elektřiny'!BB53</f>
        <v>0.41099999999999998</v>
      </c>
      <c r="H53" s="133"/>
      <c r="I53" s="133">
        <f t="shared" si="3"/>
        <v>19.299888888888891</v>
      </c>
      <c r="J53" s="128">
        <f t="shared" si="2"/>
        <v>2.2660498470433638E-3</v>
      </c>
      <c r="K53" s="80"/>
      <c r="L53" s="81"/>
      <c r="M53" s="80"/>
      <c r="N53" s="81"/>
      <c r="O53" s="133"/>
      <c r="P53" s="133"/>
      <c r="Q53" s="133"/>
      <c r="R53" s="133" t="s">
        <v>470</v>
      </c>
      <c r="S53" s="133"/>
      <c r="T53" s="133"/>
      <c r="U53" s="133" t="s">
        <v>468</v>
      </c>
      <c r="V53" s="133"/>
      <c r="W53" s="133"/>
      <c r="X53" s="133">
        <v>1</v>
      </c>
      <c r="Y53" s="145" t="s">
        <v>146</v>
      </c>
    </row>
    <row r="54" spans="1:25" x14ac:dyDescent="0.3">
      <c r="A54" s="89" t="s">
        <v>108</v>
      </c>
      <c r="B54" s="146" t="s">
        <v>150</v>
      </c>
      <c r="C54" s="133"/>
      <c r="D54" s="133"/>
      <c r="E54" s="133"/>
      <c r="F54" s="133"/>
      <c r="G54" s="154">
        <f>'Spotřeba elektřiny'!BB54</f>
        <v>0.88500000000000001</v>
      </c>
      <c r="H54" s="133"/>
      <c r="I54" s="133">
        <f t="shared" si="3"/>
        <v>0.88500000000000001</v>
      </c>
      <c r="J54" s="128">
        <f t="shared" si="2"/>
        <v>1.0391013783441696E-4</v>
      </c>
      <c r="K54" s="80"/>
      <c r="L54" s="81"/>
      <c r="M54" s="80"/>
      <c r="N54" s="81"/>
      <c r="O54" s="133"/>
      <c r="P54" s="133"/>
      <c r="Q54" s="133"/>
      <c r="R54" s="133"/>
      <c r="S54" s="133"/>
      <c r="T54" s="133"/>
      <c r="U54" s="133" t="s">
        <v>468</v>
      </c>
      <c r="V54" s="133"/>
      <c r="W54" s="133"/>
      <c r="X54" s="133">
        <v>1</v>
      </c>
      <c r="Y54" s="145" t="s">
        <v>149</v>
      </c>
    </row>
    <row r="55" spans="1:25" x14ac:dyDescent="0.3">
      <c r="A55" s="89" t="s">
        <v>108</v>
      </c>
      <c r="B55" s="146" t="s">
        <v>152</v>
      </c>
      <c r="C55" s="133"/>
      <c r="D55" s="133"/>
      <c r="E55" s="133"/>
      <c r="F55" s="133"/>
      <c r="G55" s="154">
        <f>'Spotřeba elektřiny'!BB55</f>
        <v>2E-3</v>
      </c>
      <c r="H55" s="133"/>
      <c r="I55" s="133">
        <f t="shared" si="3"/>
        <v>2E-3</v>
      </c>
      <c r="J55" s="128">
        <f t="shared" si="2"/>
        <v>2.3482517024726998E-7</v>
      </c>
      <c r="K55" s="80"/>
      <c r="L55" s="81"/>
      <c r="M55" s="80"/>
      <c r="N55" s="81"/>
      <c r="O55" s="133"/>
      <c r="P55" s="133"/>
      <c r="Q55" s="133"/>
      <c r="R55" s="133"/>
      <c r="S55" s="133"/>
      <c r="T55" s="133"/>
      <c r="U55" s="133" t="s">
        <v>468</v>
      </c>
      <c r="V55" s="133"/>
      <c r="W55" s="133"/>
      <c r="X55" s="133">
        <v>1</v>
      </c>
      <c r="Y55" s="145" t="s">
        <v>151</v>
      </c>
    </row>
    <row r="56" spans="1:25" ht="28.8" x14ac:dyDescent="0.3">
      <c r="A56" s="89" t="s">
        <v>132</v>
      </c>
      <c r="B56" s="146" t="s">
        <v>154</v>
      </c>
      <c r="C56" s="133" t="s">
        <v>448</v>
      </c>
      <c r="D56" s="133" t="s">
        <v>449</v>
      </c>
      <c r="E56" s="133">
        <f>'Spotřeba tepla'!BB56/3.6</f>
        <v>81.666666666666671</v>
      </c>
      <c r="F56" s="133"/>
      <c r="G56" s="154">
        <f>'Spotřeba elektřiny'!BB56</f>
        <v>6.0760000000000005</v>
      </c>
      <c r="H56" s="133"/>
      <c r="I56" s="133">
        <f t="shared" si="3"/>
        <v>87.742666666666679</v>
      </c>
      <c r="J56" s="128">
        <f t="shared" si="2"/>
        <v>1.0302093318974732E-2</v>
      </c>
      <c r="K56" s="80"/>
      <c r="L56" s="81"/>
      <c r="M56" s="80"/>
      <c r="N56" s="81"/>
      <c r="O56" s="133"/>
      <c r="P56" s="133"/>
      <c r="Q56" s="133"/>
      <c r="R56" s="133" t="s">
        <v>471</v>
      </c>
      <c r="S56" s="133" t="s">
        <v>468</v>
      </c>
      <c r="T56" s="133" t="s">
        <v>468</v>
      </c>
      <c r="U56" s="133" t="s">
        <v>468</v>
      </c>
      <c r="V56" s="133"/>
      <c r="W56" s="133"/>
      <c r="X56" s="133">
        <v>2</v>
      </c>
      <c r="Y56" s="145" t="s">
        <v>153</v>
      </c>
    </row>
    <row r="57" spans="1:25" x14ac:dyDescent="0.3">
      <c r="A57" s="89" t="s">
        <v>82</v>
      </c>
      <c r="B57" s="146" t="s">
        <v>156</v>
      </c>
      <c r="C57" s="133" t="s">
        <v>448</v>
      </c>
      <c r="D57" s="133" t="s">
        <v>449</v>
      </c>
      <c r="E57" s="133"/>
      <c r="F57" s="133"/>
      <c r="G57" s="154">
        <f>'Spotřeba elektřiny'!BB57</f>
        <v>0</v>
      </c>
      <c r="H57" s="133"/>
      <c r="I57" s="133">
        <f t="shared" si="3"/>
        <v>0</v>
      </c>
      <c r="J57" s="128">
        <f t="shared" si="2"/>
        <v>0</v>
      </c>
      <c r="K57" s="80"/>
      <c r="L57" s="81"/>
      <c r="M57" s="80"/>
      <c r="N57" s="81"/>
      <c r="O57" s="133"/>
      <c r="P57" s="133"/>
      <c r="Q57" s="133"/>
      <c r="R57" s="133"/>
      <c r="S57" s="133"/>
      <c r="T57" s="133"/>
      <c r="U57" s="133" t="s">
        <v>468</v>
      </c>
      <c r="V57" s="133"/>
      <c r="W57" s="133"/>
      <c r="X57" s="133">
        <v>1</v>
      </c>
      <c r="Y57" s="145" t="s">
        <v>155</v>
      </c>
    </row>
    <row r="58" spans="1:25" x14ac:dyDescent="0.3">
      <c r="A58" s="89" t="s">
        <v>108</v>
      </c>
      <c r="B58" s="146" t="s">
        <v>158</v>
      </c>
      <c r="C58" s="133"/>
      <c r="D58" s="133"/>
      <c r="E58" s="133"/>
      <c r="F58" s="133"/>
      <c r="G58" s="154">
        <f>'Spotřeba elektřiny'!BB58</f>
        <v>0</v>
      </c>
      <c r="H58" s="133"/>
      <c r="I58" s="133">
        <f t="shared" si="3"/>
        <v>0</v>
      </c>
      <c r="J58" s="128">
        <f t="shared" si="2"/>
        <v>0</v>
      </c>
      <c r="K58" s="80"/>
      <c r="L58" s="81"/>
      <c r="M58" s="80"/>
      <c r="N58" s="81"/>
      <c r="O58" s="133"/>
      <c r="P58" s="133"/>
      <c r="Q58" s="133"/>
      <c r="R58" s="133"/>
      <c r="S58" s="133"/>
      <c r="T58" s="133"/>
      <c r="U58" s="133" t="s">
        <v>468</v>
      </c>
      <c r="V58" s="133"/>
      <c r="W58" s="133"/>
      <c r="X58" s="133">
        <v>1</v>
      </c>
      <c r="Y58" s="145" t="s">
        <v>157</v>
      </c>
    </row>
    <row r="59" spans="1:25" x14ac:dyDescent="0.3">
      <c r="A59" s="89" t="s">
        <v>108</v>
      </c>
      <c r="B59" s="146" t="s">
        <v>160</v>
      </c>
      <c r="C59" s="133"/>
      <c r="D59" s="133"/>
      <c r="E59" s="133"/>
      <c r="F59" s="133"/>
      <c r="G59" s="154">
        <f>'Spotřeba elektřiny'!BB59</f>
        <v>2.0259999999999998</v>
      </c>
      <c r="H59" s="133"/>
      <c r="I59" s="133">
        <f t="shared" si="3"/>
        <v>2.0259999999999998</v>
      </c>
      <c r="J59" s="128">
        <f t="shared" si="2"/>
        <v>2.3787789746048445E-4</v>
      </c>
      <c r="K59" s="80"/>
      <c r="L59" s="81"/>
      <c r="M59" s="80"/>
      <c r="N59" s="81"/>
      <c r="O59" s="133"/>
      <c r="P59" s="133"/>
      <c r="Q59" s="133"/>
      <c r="R59" s="133"/>
      <c r="S59" s="133"/>
      <c r="T59" s="133"/>
      <c r="U59" s="133" t="s">
        <v>468</v>
      </c>
      <c r="V59" s="133"/>
      <c r="W59" s="133"/>
      <c r="X59" s="133">
        <v>1</v>
      </c>
      <c r="Y59" s="145" t="s">
        <v>159</v>
      </c>
    </row>
    <row r="60" spans="1:25" x14ac:dyDescent="0.3">
      <c r="A60" s="89" t="s">
        <v>108</v>
      </c>
      <c r="B60" s="146" t="s">
        <v>162</v>
      </c>
      <c r="C60" s="133"/>
      <c r="D60" s="133"/>
      <c r="E60" s="133"/>
      <c r="F60" s="133"/>
      <c r="G60" s="154">
        <f>'Spotřeba elektřiny'!BB60</f>
        <v>0.39100000000000001</v>
      </c>
      <c r="H60" s="133"/>
      <c r="I60" s="133">
        <f t="shared" si="3"/>
        <v>0.39100000000000001</v>
      </c>
      <c r="J60" s="128">
        <f t="shared" si="2"/>
        <v>4.5908320783341277E-5</v>
      </c>
      <c r="K60" s="80"/>
      <c r="L60" s="81"/>
      <c r="M60" s="80"/>
      <c r="N60" s="81"/>
      <c r="O60" s="133"/>
      <c r="P60" s="133"/>
      <c r="Q60" s="133"/>
      <c r="R60" s="133"/>
      <c r="S60" s="133"/>
      <c r="T60" s="133"/>
      <c r="U60" s="133" t="s">
        <v>468</v>
      </c>
      <c r="V60" s="133"/>
      <c r="W60" s="133"/>
      <c r="X60" s="133">
        <v>1</v>
      </c>
      <c r="Y60" s="145" t="s">
        <v>161</v>
      </c>
    </row>
    <row r="61" spans="1:25" x14ac:dyDescent="0.3">
      <c r="A61" s="89" t="s">
        <v>108</v>
      </c>
      <c r="B61" s="146" t="s">
        <v>164</v>
      </c>
      <c r="C61" s="133"/>
      <c r="D61" s="133"/>
      <c r="E61" s="133"/>
      <c r="F61" s="133"/>
      <c r="G61" s="154">
        <f>'Spotřeba elektřiny'!BB61</f>
        <v>0.12100000000000001</v>
      </c>
      <c r="H61" s="133"/>
      <c r="I61" s="133">
        <f t="shared" si="3"/>
        <v>0.12100000000000001</v>
      </c>
      <c r="J61" s="128">
        <f t="shared" si="2"/>
        <v>1.4206922799959835E-5</v>
      </c>
      <c r="K61" s="80"/>
      <c r="L61" s="81"/>
      <c r="M61" s="80"/>
      <c r="N61" s="81"/>
      <c r="O61" s="133"/>
      <c r="P61" s="133"/>
      <c r="Q61" s="133"/>
      <c r="R61" s="133"/>
      <c r="S61" s="133"/>
      <c r="T61" s="133"/>
      <c r="U61" s="133" t="s">
        <v>468</v>
      </c>
      <c r="V61" s="133"/>
      <c r="W61" s="133"/>
      <c r="X61" s="133">
        <v>1</v>
      </c>
      <c r="Y61" s="145" t="s">
        <v>163</v>
      </c>
    </row>
    <row r="62" spans="1:25" x14ac:dyDescent="0.3">
      <c r="A62" s="89" t="s">
        <v>108</v>
      </c>
      <c r="B62" s="146" t="s">
        <v>166</v>
      </c>
      <c r="C62" s="133"/>
      <c r="D62" s="133"/>
      <c r="E62" s="133"/>
      <c r="F62" s="133"/>
      <c r="G62" s="154">
        <f>'Spotřeba elektřiny'!BB62</f>
        <v>0.55200000000000005</v>
      </c>
      <c r="H62" s="133"/>
      <c r="I62" s="133">
        <f t="shared" si="3"/>
        <v>0.55200000000000005</v>
      </c>
      <c r="J62" s="128">
        <f t="shared" si="2"/>
        <v>6.4811746988246513E-5</v>
      </c>
      <c r="K62" s="80"/>
      <c r="L62" s="81"/>
      <c r="M62" s="80"/>
      <c r="N62" s="81"/>
      <c r="O62" s="133"/>
      <c r="P62" s="133"/>
      <c r="Q62" s="133"/>
      <c r="R62" s="133"/>
      <c r="S62" s="133"/>
      <c r="T62" s="133"/>
      <c r="U62" s="133" t="s">
        <v>468</v>
      </c>
      <c r="V62" s="133"/>
      <c r="W62" s="133"/>
      <c r="X62" s="133">
        <v>1</v>
      </c>
      <c r="Y62" s="145" t="s">
        <v>165</v>
      </c>
    </row>
    <row r="63" spans="1:25" x14ac:dyDescent="0.3">
      <c r="A63" s="89" t="s">
        <v>108</v>
      </c>
      <c r="B63" s="146" t="s">
        <v>168</v>
      </c>
      <c r="C63" s="133"/>
      <c r="D63" s="133"/>
      <c r="E63" s="133"/>
      <c r="F63" s="133"/>
      <c r="G63" s="154">
        <f>'Spotřeba elektřiny'!BB63</f>
        <v>0</v>
      </c>
      <c r="H63" s="133"/>
      <c r="I63" s="133">
        <f t="shared" si="3"/>
        <v>0</v>
      </c>
      <c r="J63" s="128">
        <f t="shared" si="2"/>
        <v>0</v>
      </c>
      <c r="K63" s="80"/>
      <c r="L63" s="81"/>
      <c r="M63" s="80"/>
      <c r="N63" s="81"/>
      <c r="O63" s="133"/>
      <c r="P63" s="133"/>
      <c r="Q63" s="133"/>
      <c r="R63" s="133"/>
      <c r="S63" s="133"/>
      <c r="T63" s="133"/>
      <c r="U63" s="133" t="s">
        <v>468</v>
      </c>
      <c r="V63" s="133"/>
      <c r="W63" s="133"/>
      <c r="X63" s="133">
        <v>1</v>
      </c>
      <c r="Y63" s="145" t="s">
        <v>167</v>
      </c>
    </row>
    <row r="64" spans="1:25" x14ac:dyDescent="0.3">
      <c r="A64" s="89" t="s">
        <v>108</v>
      </c>
      <c r="B64" s="146" t="s">
        <v>170</v>
      </c>
      <c r="C64" s="133"/>
      <c r="D64" s="133"/>
      <c r="E64" s="133"/>
      <c r="F64" s="133"/>
      <c r="G64" s="154">
        <f>'Spotřeba elektřiny'!BB64</f>
        <v>0.32200000000000001</v>
      </c>
      <c r="H64" s="133"/>
      <c r="I64" s="133">
        <f t="shared" si="3"/>
        <v>0.32200000000000001</v>
      </c>
      <c r="J64" s="128">
        <f t="shared" si="2"/>
        <v>3.7806852409810465E-5</v>
      </c>
      <c r="K64" s="80"/>
      <c r="L64" s="81"/>
      <c r="M64" s="80"/>
      <c r="N64" s="81"/>
      <c r="O64" s="133"/>
      <c r="P64" s="133"/>
      <c r="Q64" s="133"/>
      <c r="R64" s="133"/>
      <c r="S64" s="133"/>
      <c r="T64" s="133"/>
      <c r="U64" s="133" t="s">
        <v>468</v>
      </c>
      <c r="V64" s="133"/>
      <c r="W64" s="133"/>
      <c r="X64" s="133">
        <v>1</v>
      </c>
      <c r="Y64" s="145" t="s">
        <v>169</v>
      </c>
    </row>
    <row r="65" spans="1:25" x14ac:dyDescent="0.3">
      <c r="A65" s="89" t="s">
        <v>108</v>
      </c>
      <c r="B65" s="146" t="s">
        <v>172</v>
      </c>
      <c r="C65" s="133"/>
      <c r="D65" s="133"/>
      <c r="E65" s="133"/>
      <c r="F65" s="133"/>
      <c r="G65" s="154">
        <f>'Spotřeba elektřiny'!BB65</f>
        <v>0.1</v>
      </c>
      <c r="H65" s="133"/>
      <c r="I65" s="133">
        <f t="shared" si="3"/>
        <v>0.1</v>
      </c>
      <c r="J65" s="128">
        <f t="shared" si="2"/>
        <v>1.1741258512363498E-5</v>
      </c>
      <c r="K65" s="80"/>
      <c r="L65" s="81"/>
      <c r="M65" s="80"/>
      <c r="N65" s="81"/>
      <c r="O65" s="133"/>
      <c r="P65" s="133"/>
      <c r="Q65" s="133"/>
      <c r="R65" s="133"/>
      <c r="S65" s="133"/>
      <c r="T65" s="133"/>
      <c r="U65" s="133" t="s">
        <v>468</v>
      </c>
      <c r="V65" s="133"/>
      <c r="W65" s="133"/>
      <c r="X65" s="133">
        <v>1</v>
      </c>
      <c r="Y65" s="145" t="s">
        <v>171</v>
      </c>
    </row>
    <row r="66" spans="1:25" x14ac:dyDescent="0.3">
      <c r="A66" s="89" t="s">
        <v>44</v>
      </c>
      <c r="B66" s="146" t="s">
        <v>174</v>
      </c>
      <c r="C66" s="133"/>
      <c r="D66" s="133"/>
      <c r="E66" s="133"/>
      <c r="F66" s="133"/>
      <c r="G66" s="154">
        <f>'Spotřeba elektřiny'!BB66</f>
        <v>8.6000000000000007E-2</v>
      </c>
      <c r="H66" s="133"/>
      <c r="I66" s="133">
        <f t="shared" si="3"/>
        <v>8.6000000000000007E-2</v>
      </c>
      <c r="J66" s="128">
        <f t="shared" si="2"/>
        <v>1.009748232063261E-5</v>
      </c>
      <c r="K66" s="80"/>
      <c r="L66" s="81"/>
      <c r="M66" s="80"/>
      <c r="N66" s="81"/>
      <c r="O66" s="133"/>
      <c r="P66" s="133"/>
      <c r="Q66" s="133"/>
      <c r="R66" s="133"/>
      <c r="S66" s="133"/>
      <c r="T66" s="133"/>
      <c r="U66" s="133" t="s">
        <v>468</v>
      </c>
      <c r="V66" s="133"/>
      <c r="W66" s="133"/>
      <c r="X66" s="133">
        <v>1</v>
      </c>
      <c r="Y66" s="145" t="s">
        <v>173</v>
      </c>
    </row>
    <row r="67" spans="1:25" x14ac:dyDescent="0.3">
      <c r="A67" s="89" t="s">
        <v>108</v>
      </c>
      <c r="B67" s="146" t="s">
        <v>176</v>
      </c>
      <c r="C67" s="133"/>
      <c r="D67" s="133"/>
      <c r="E67" s="133"/>
      <c r="F67" s="133"/>
      <c r="G67" s="154">
        <f>'Spotřeba elektřiny'!BB67</f>
        <v>0.65</v>
      </c>
      <c r="H67" s="133"/>
      <c r="I67" s="133">
        <f t="shared" si="3"/>
        <v>0.65</v>
      </c>
      <c r="J67" s="128">
        <f t="shared" si="2"/>
        <v>7.631818033036274E-5</v>
      </c>
      <c r="K67" s="80"/>
      <c r="L67" s="81"/>
      <c r="M67" s="80"/>
      <c r="N67" s="81"/>
      <c r="O67" s="133"/>
      <c r="P67" s="133"/>
      <c r="Q67" s="133"/>
      <c r="R67" s="133"/>
      <c r="S67" s="133"/>
      <c r="T67" s="133"/>
      <c r="U67" s="133" t="s">
        <v>468</v>
      </c>
      <c r="V67" s="133"/>
      <c r="W67" s="133"/>
      <c r="X67" s="133">
        <v>1</v>
      </c>
      <c r="Y67" s="145" t="s">
        <v>175</v>
      </c>
    </row>
    <row r="68" spans="1:25" x14ac:dyDescent="0.3">
      <c r="A68" s="89" t="s">
        <v>44</v>
      </c>
      <c r="B68" s="146" t="s">
        <v>178</v>
      </c>
      <c r="C68" s="133"/>
      <c r="D68" s="133"/>
      <c r="E68" s="133"/>
      <c r="F68" s="133"/>
      <c r="G68" s="154">
        <f>'Spotřeba elektřiny'!BB68</f>
        <v>0.20699999999999999</v>
      </c>
      <c r="H68" s="133"/>
      <c r="I68" s="133">
        <f t="shared" si="3"/>
        <v>0.20699999999999999</v>
      </c>
      <c r="J68" s="128">
        <f t="shared" ref="J68:J95" si="4">I68/$I$179</f>
        <v>2.4304405120592441E-5</v>
      </c>
      <c r="K68" s="80"/>
      <c r="L68" s="81"/>
      <c r="M68" s="80"/>
      <c r="N68" s="81"/>
      <c r="O68" s="133"/>
      <c r="P68" s="133"/>
      <c r="Q68" s="133"/>
      <c r="R68" s="133"/>
      <c r="S68" s="133"/>
      <c r="T68" s="133"/>
      <c r="U68" s="133" t="s">
        <v>468</v>
      </c>
      <c r="V68" s="133"/>
      <c r="W68" s="133"/>
      <c r="X68" s="133">
        <v>1</v>
      </c>
      <c r="Y68" s="145" t="s">
        <v>177</v>
      </c>
    </row>
    <row r="69" spans="1:25" x14ac:dyDescent="0.3">
      <c r="A69" s="89" t="s">
        <v>108</v>
      </c>
      <c r="B69" s="146" t="s">
        <v>180</v>
      </c>
      <c r="C69" s="133"/>
      <c r="D69" s="133"/>
      <c r="E69" s="133"/>
      <c r="F69" s="133"/>
      <c r="G69" s="154">
        <f>'Spotřeba elektřiny'!BB69</f>
        <v>1.0049999999999999</v>
      </c>
      <c r="H69" s="133"/>
      <c r="I69" s="133">
        <f t="shared" si="3"/>
        <v>1.0049999999999999</v>
      </c>
      <c r="J69" s="128">
        <f t="shared" si="4"/>
        <v>1.1799964804925314E-4</v>
      </c>
      <c r="K69" s="80"/>
      <c r="L69" s="81"/>
      <c r="M69" s="80"/>
      <c r="N69" s="81"/>
      <c r="O69" s="133"/>
      <c r="P69" s="133"/>
      <c r="Q69" s="133"/>
      <c r="R69" s="133"/>
      <c r="S69" s="133"/>
      <c r="T69" s="133"/>
      <c r="U69" s="133" t="s">
        <v>468</v>
      </c>
      <c r="V69" s="133"/>
      <c r="W69" s="133"/>
      <c r="X69" s="133">
        <v>1</v>
      </c>
      <c r="Y69" s="145" t="s">
        <v>179</v>
      </c>
    </row>
    <row r="70" spans="1:25" x14ac:dyDescent="0.3">
      <c r="A70" s="89" t="s">
        <v>108</v>
      </c>
      <c r="B70" s="146" t="s">
        <v>182</v>
      </c>
      <c r="C70" s="133"/>
      <c r="D70" s="133"/>
      <c r="E70" s="133"/>
      <c r="F70" s="133"/>
      <c r="G70" s="154">
        <f>'Spotřeba elektřiny'!BB70</f>
        <v>0.58700000000000008</v>
      </c>
      <c r="H70" s="133"/>
      <c r="I70" s="133">
        <f t="shared" si="3"/>
        <v>0.58700000000000008</v>
      </c>
      <c r="J70" s="128">
        <f t="shared" si="4"/>
        <v>6.8921187467573745E-5</v>
      </c>
      <c r="K70" s="80"/>
      <c r="L70" s="81"/>
      <c r="M70" s="80"/>
      <c r="N70" s="81"/>
      <c r="O70" s="133"/>
      <c r="P70" s="133"/>
      <c r="Q70" s="133"/>
      <c r="R70" s="133"/>
      <c r="S70" s="133"/>
      <c r="T70" s="133"/>
      <c r="U70" s="133" t="s">
        <v>468</v>
      </c>
      <c r="V70" s="133"/>
      <c r="W70" s="133"/>
      <c r="X70" s="133">
        <v>1</v>
      </c>
      <c r="Y70" s="145" t="s">
        <v>181</v>
      </c>
    </row>
    <row r="71" spans="1:25" x14ac:dyDescent="0.3">
      <c r="A71" s="89" t="s">
        <v>108</v>
      </c>
      <c r="B71" s="146" t="s">
        <v>184</v>
      </c>
      <c r="C71" s="133"/>
      <c r="D71" s="133"/>
      <c r="E71" s="133"/>
      <c r="F71" s="133"/>
      <c r="G71" s="154">
        <f>'Spotřeba elektřiny'!BB71</f>
        <v>0</v>
      </c>
      <c r="H71" s="133"/>
      <c r="I71" s="133">
        <f t="shared" si="3"/>
        <v>0</v>
      </c>
      <c r="J71" s="128">
        <f t="shared" si="4"/>
        <v>0</v>
      </c>
      <c r="K71" s="80"/>
      <c r="L71" s="81"/>
      <c r="M71" s="80"/>
      <c r="N71" s="81"/>
      <c r="O71" s="133"/>
      <c r="P71" s="133"/>
      <c r="Q71" s="133"/>
      <c r="R71" s="133"/>
      <c r="S71" s="133"/>
      <c r="T71" s="133"/>
      <c r="U71" s="133" t="s">
        <v>468</v>
      </c>
      <c r="V71" s="133"/>
      <c r="W71" s="133"/>
      <c r="X71" s="133">
        <v>1</v>
      </c>
      <c r="Y71" s="145" t="s">
        <v>183</v>
      </c>
    </row>
    <row r="72" spans="1:25" x14ac:dyDescent="0.3">
      <c r="A72" s="89" t="s">
        <v>108</v>
      </c>
      <c r="B72" s="146" t="s">
        <v>186</v>
      </c>
      <c r="C72" s="133"/>
      <c r="D72" s="133"/>
      <c r="E72" s="133"/>
      <c r="F72" s="133"/>
      <c r="G72" s="154">
        <f>'Spotřeba elektřiny'!BB72</f>
        <v>0</v>
      </c>
      <c r="H72" s="133"/>
      <c r="I72" s="133">
        <f t="shared" ref="I72:I94" si="5">G72+IF(E72&gt;0,E72,F72)</f>
        <v>0</v>
      </c>
      <c r="J72" s="128">
        <f t="shared" si="4"/>
        <v>0</v>
      </c>
      <c r="K72" s="80"/>
      <c r="L72" s="81"/>
      <c r="M72" s="80"/>
      <c r="N72" s="81"/>
      <c r="O72" s="133"/>
      <c r="P72" s="133"/>
      <c r="Q72" s="133"/>
      <c r="R72" s="133"/>
      <c r="S72" s="133"/>
      <c r="T72" s="133"/>
      <c r="U72" s="133" t="s">
        <v>468</v>
      </c>
      <c r="V72" s="133"/>
      <c r="W72" s="133"/>
      <c r="X72" s="133">
        <v>1</v>
      </c>
      <c r="Y72" s="145" t="s">
        <v>185</v>
      </c>
    </row>
    <row r="73" spans="1:25" x14ac:dyDescent="0.3">
      <c r="A73" s="89" t="s">
        <v>44</v>
      </c>
      <c r="B73" s="146" t="s">
        <v>188</v>
      </c>
      <c r="C73" s="133"/>
      <c r="D73" s="133"/>
      <c r="E73" s="133"/>
      <c r="F73" s="133"/>
      <c r="G73" s="154">
        <f>'Spotřeba elektřiny'!BB73</f>
        <v>5.2999999999999999E-2</v>
      </c>
      <c r="H73" s="133"/>
      <c r="I73" s="133">
        <f t="shared" si="5"/>
        <v>5.2999999999999999E-2</v>
      </c>
      <c r="J73" s="128">
        <f t="shared" si="4"/>
        <v>6.2228670115526543E-6</v>
      </c>
      <c r="K73" s="80"/>
      <c r="L73" s="81"/>
      <c r="M73" s="80"/>
      <c r="N73" s="81"/>
      <c r="O73" s="133"/>
      <c r="P73" s="133"/>
      <c r="Q73" s="133"/>
      <c r="R73" s="133"/>
      <c r="S73" s="133"/>
      <c r="T73" s="133"/>
      <c r="U73" s="133" t="s">
        <v>468</v>
      </c>
      <c r="V73" s="133"/>
      <c r="W73" s="133"/>
      <c r="X73" s="133">
        <v>1</v>
      </c>
      <c r="Y73" s="145" t="s">
        <v>187</v>
      </c>
    </row>
    <row r="74" spans="1:25" x14ac:dyDescent="0.3">
      <c r="A74" s="89" t="s">
        <v>44</v>
      </c>
      <c r="B74" s="146" t="s">
        <v>190</v>
      </c>
      <c r="C74" s="133"/>
      <c r="D74" s="133"/>
      <c r="E74" s="133"/>
      <c r="F74" s="133"/>
      <c r="G74" s="154">
        <f>'Spotřeba elektřiny'!BB74</f>
        <v>4.3000000000000003E-2</v>
      </c>
      <c r="H74" s="133"/>
      <c r="I74" s="133">
        <f t="shared" si="5"/>
        <v>4.3000000000000003E-2</v>
      </c>
      <c r="J74" s="128">
        <f t="shared" si="4"/>
        <v>5.0487411603163048E-6</v>
      </c>
      <c r="K74" s="80"/>
      <c r="L74" s="81"/>
      <c r="M74" s="80"/>
      <c r="N74" s="81"/>
      <c r="O74" s="133"/>
      <c r="P74" s="133"/>
      <c r="Q74" s="133"/>
      <c r="R74" s="133"/>
      <c r="S74" s="133"/>
      <c r="T74" s="133"/>
      <c r="U74" s="133" t="s">
        <v>468</v>
      </c>
      <c r="V74" s="133"/>
      <c r="W74" s="133"/>
      <c r="X74" s="133">
        <v>1</v>
      </c>
      <c r="Y74" s="145" t="s">
        <v>189</v>
      </c>
    </row>
    <row r="75" spans="1:25" x14ac:dyDescent="0.3">
      <c r="A75" s="89" t="s">
        <v>108</v>
      </c>
      <c r="B75" s="146" t="s">
        <v>192</v>
      </c>
      <c r="C75" s="133"/>
      <c r="D75" s="133"/>
      <c r="E75" s="133"/>
      <c r="F75" s="133"/>
      <c r="G75" s="154">
        <f>'Spotřeba elektřiny'!BB75</f>
        <v>0.27700000000000002</v>
      </c>
      <c r="H75" s="133"/>
      <c r="I75" s="133">
        <f t="shared" si="5"/>
        <v>0.27700000000000002</v>
      </c>
      <c r="J75" s="128">
        <f t="shared" si="4"/>
        <v>3.2523286079246894E-5</v>
      </c>
      <c r="K75" s="80"/>
      <c r="L75" s="81"/>
      <c r="M75" s="80"/>
      <c r="N75" s="81"/>
      <c r="O75" s="133"/>
      <c r="P75" s="133"/>
      <c r="Q75" s="133"/>
      <c r="R75" s="133"/>
      <c r="S75" s="133"/>
      <c r="T75" s="133"/>
      <c r="U75" s="133" t="s">
        <v>468</v>
      </c>
      <c r="V75" s="133"/>
      <c r="W75" s="133"/>
      <c r="X75" s="133">
        <v>1</v>
      </c>
      <c r="Y75" s="145" t="s">
        <v>191</v>
      </c>
    </row>
    <row r="76" spans="1:25" x14ac:dyDescent="0.3">
      <c r="A76" s="89" t="s">
        <v>44</v>
      </c>
      <c r="B76" s="146" t="s">
        <v>194</v>
      </c>
      <c r="C76" s="133"/>
      <c r="D76" s="133"/>
      <c r="E76" s="133"/>
      <c r="F76" s="133"/>
      <c r="G76" s="154">
        <f>'Spotřeba elektřiny'!BB76</f>
        <v>6.0999999999999992E-2</v>
      </c>
      <c r="H76" s="133"/>
      <c r="I76" s="133">
        <f t="shared" si="5"/>
        <v>6.0999999999999992E-2</v>
      </c>
      <c r="J76" s="128">
        <f t="shared" si="4"/>
        <v>7.1621676925417334E-6</v>
      </c>
      <c r="K76" s="80"/>
      <c r="L76" s="81"/>
      <c r="M76" s="80"/>
      <c r="N76" s="81"/>
      <c r="O76" s="133"/>
      <c r="P76" s="133"/>
      <c r="Q76" s="133"/>
      <c r="R76" s="133"/>
      <c r="S76" s="133"/>
      <c r="T76" s="133"/>
      <c r="U76" s="133" t="s">
        <v>468</v>
      </c>
      <c r="V76" s="133"/>
      <c r="W76" s="133"/>
      <c r="X76" s="133">
        <v>1</v>
      </c>
      <c r="Y76" s="145" t="s">
        <v>193</v>
      </c>
    </row>
    <row r="77" spans="1:25" x14ac:dyDescent="0.3">
      <c r="A77" s="89" t="s">
        <v>44</v>
      </c>
      <c r="B77" s="146" t="s">
        <v>196</v>
      </c>
      <c r="C77" s="133"/>
      <c r="D77" s="133"/>
      <c r="E77" s="133"/>
      <c r="F77" s="133"/>
      <c r="G77" s="154">
        <f>'Spotřeba elektřiny'!BB77</f>
        <v>4.7E-2</v>
      </c>
      <c r="H77" s="133"/>
      <c r="I77" s="133">
        <f t="shared" si="5"/>
        <v>4.7E-2</v>
      </c>
      <c r="J77" s="128">
        <f t="shared" si="4"/>
        <v>5.5183915008108439E-6</v>
      </c>
      <c r="K77" s="80"/>
      <c r="L77" s="81"/>
      <c r="M77" s="80"/>
      <c r="N77" s="81"/>
      <c r="O77" s="133"/>
      <c r="P77" s="133"/>
      <c r="Q77" s="133"/>
      <c r="R77" s="133"/>
      <c r="S77" s="133"/>
      <c r="T77" s="133"/>
      <c r="U77" s="133" t="s">
        <v>468</v>
      </c>
      <c r="V77" s="133"/>
      <c r="W77" s="133"/>
      <c r="X77" s="133">
        <v>1</v>
      </c>
      <c r="Y77" s="145" t="s">
        <v>195</v>
      </c>
    </row>
    <row r="78" spans="1:25" x14ac:dyDescent="0.3">
      <c r="A78" s="89" t="s">
        <v>44</v>
      </c>
      <c r="B78" s="146" t="s">
        <v>198</v>
      </c>
      <c r="C78" s="133"/>
      <c r="D78" s="133"/>
      <c r="E78" s="133"/>
      <c r="F78" s="133"/>
      <c r="G78" s="154">
        <f>'Spotřeba elektřiny'!BB78</f>
        <v>3.9E-2</v>
      </c>
      <c r="H78" s="133"/>
      <c r="I78" s="133">
        <f t="shared" si="5"/>
        <v>3.9E-2</v>
      </c>
      <c r="J78" s="128">
        <f t="shared" si="4"/>
        <v>4.579090819821764E-6</v>
      </c>
      <c r="K78" s="80"/>
      <c r="L78" s="81"/>
      <c r="M78" s="80"/>
      <c r="N78" s="81"/>
      <c r="O78" s="133"/>
      <c r="P78" s="133"/>
      <c r="Q78" s="133"/>
      <c r="R78" s="133"/>
      <c r="S78" s="133"/>
      <c r="T78" s="133"/>
      <c r="U78" s="133" t="s">
        <v>468</v>
      </c>
      <c r="V78" s="133"/>
      <c r="W78" s="133"/>
      <c r="X78" s="133">
        <v>1</v>
      </c>
      <c r="Y78" s="145" t="s">
        <v>197</v>
      </c>
    </row>
    <row r="79" spans="1:25" x14ac:dyDescent="0.3">
      <c r="A79" s="89" t="s">
        <v>44</v>
      </c>
      <c r="B79" s="146" t="s">
        <v>200</v>
      </c>
      <c r="C79" s="133"/>
      <c r="D79" s="133"/>
      <c r="E79" s="133"/>
      <c r="F79" s="133"/>
      <c r="G79" s="154">
        <f>'Spotřeba elektřiny'!BB79</f>
        <v>1.6E-2</v>
      </c>
      <c r="H79" s="133"/>
      <c r="I79" s="133">
        <f t="shared" si="5"/>
        <v>1.6E-2</v>
      </c>
      <c r="J79" s="128">
        <f t="shared" si="4"/>
        <v>1.8786013619781599E-6</v>
      </c>
      <c r="K79" s="80"/>
      <c r="L79" s="81"/>
      <c r="M79" s="80"/>
      <c r="N79" s="81"/>
      <c r="O79" s="133"/>
      <c r="P79" s="133"/>
      <c r="Q79" s="133"/>
      <c r="R79" s="133"/>
      <c r="S79" s="133"/>
      <c r="T79" s="133"/>
      <c r="U79" s="133" t="s">
        <v>468</v>
      </c>
      <c r="V79" s="133"/>
      <c r="W79" s="133"/>
      <c r="X79" s="133">
        <v>1</v>
      </c>
      <c r="Y79" s="145" t="s">
        <v>199</v>
      </c>
    </row>
    <row r="80" spans="1:25" x14ac:dyDescent="0.3">
      <c r="A80" s="89" t="s">
        <v>44</v>
      </c>
      <c r="B80" s="146" t="s">
        <v>202</v>
      </c>
      <c r="C80" s="133"/>
      <c r="D80" s="133"/>
      <c r="E80" s="133"/>
      <c r="F80" s="133"/>
      <c r="G80" s="154">
        <f>'Spotřeba elektřiny'!BB80</f>
        <v>0.04</v>
      </c>
      <c r="H80" s="133"/>
      <c r="I80" s="133">
        <f t="shared" si="5"/>
        <v>0.04</v>
      </c>
      <c r="J80" s="128">
        <f t="shared" si="4"/>
        <v>4.6965034049453996E-6</v>
      </c>
      <c r="K80" s="80"/>
      <c r="L80" s="81"/>
      <c r="M80" s="80"/>
      <c r="N80" s="81"/>
      <c r="O80" s="133"/>
      <c r="P80" s="133"/>
      <c r="Q80" s="133"/>
      <c r="R80" s="133"/>
      <c r="S80" s="133"/>
      <c r="T80" s="133"/>
      <c r="U80" s="133" t="s">
        <v>468</v>
      </c>
      <c r="V80" s="133"/>
      <c r="W80" s="133"/>
      <c r="X80" s="133">
        <v>1</v>
      </c>
      <c r="Y80" s="145" t="s">
        <v>201</v>
      </c>
    </row>
    <row r="81" spans="1:25" x14ac:dyDescent="0.3">
      <c r="A81" s="89" t="s">
        <v>108</v>
      </c>
      <c r="B81" s="146" t="s">
        <v>204</v>
      </c>
      <c r="C81" s="133"/>
      <c r="D81" s="133"/>
      <c r="E81" s="133">
        <f>'Spotřeba tepla'!BB81/3.6</f>
        <v>11.666666666666666</v>
      </c>
      <c r="F81" s="133"/>
      <c r="G81" s="154">
        <f>'Spotřeba elektřiny'!BB81</f>
        <v>0.193</v>
      </c>
      <c r="H81" s="133"/>
      <c r="I81" s="133">
        <f t="shared" si="5"/>
        <v>11.859666666666666</v>
      </c>
      <c r="J81" s="128">
        <f t="shared" si="4"/>
        <v>1.3924741220379363E-3</v>
      </c>
      <c r="K81" s="80"/>
      <c r="L81" s="81"/>
      <c r="M81" s="80"/>
      <c r="N81" s="81"/>
      <c r="O81" s="133"/>
      <c r="P81" s="133"/>
      <c r="Q81" s="133"/>
      <c r="R81" s="133" t="s">
        <v>471</v>
      </c>
      <c r="S81" s="133"/>
      <c r="T81" s="133"/>
      <c r="U81" s="133" t="s">
        <v>468</v>
      </c>
      <c r="V81" s="133"/>
      <c r="W81" s="133"/>
      <c r="X81" s="133">
        <v>1</v>
      </c>
      <c r="Y81" s="145" t="s">
        <v>203</v>
      </c>
    </row>
    <row r="82" spans="1:25" x14ac:dyDescent="0.3">
      <c r="A82" s="89" t="s">
        <v>108</v>
      </c>
      <c r="B82" s="146" t="s">
        <v>206</v>
      </c>
      <c r="C82" s="133"/>
      <c r="D82" s="133"/>
      <c r="E82" s="133"/>
      <c r="F82" s="133"/>
      <c r="G82" s="154">
        <f>'Spotřeba elektřiny'!BB82</f>
        <v>0</v>
      </c>
      <c r="H82" s="133"/>
      <c r="I82" s="133">
        <f t="shared" si="5"/>
        <v>0</v>
      </c>
      <c r="J82" s="128">
        <f t="shared" si="4"/>
        <v>0</v>
      </c>
      <c r="K82" s="80"/>
      <c r="L82" s="81"/>
      <c r="M82" s="80"/>
      <c r="N82" s="81"/>
      <c r="O82" s="133"/>
      <c r="P82" s="133"/>
      <c r="Q82" s="133"/>
      <c r="R82" s="133"/>
      <c r="S82" s="133"/>
      <c r="T82" s="133"/>
      <c r="U82" s="133" t="s">
        <v>468</v>
      </c>
      <c r="V82" s="133"/>
      <c r="W82" s="133"/>
      <c r="X82" s="133">
        <v>1</v>
      </c>
      <c r="Y82" s="145" t="s">
        <v>205</v>
      </c>
    </row>
    <row r="83" spans="1:25" x14ac:dyDescent="0.3">
      <c r="A83" s="89" t="s">
        <v>108</v>
      </c>
      <c r="B83" s="146" t="s">
        <v>208</v>
      </c>
      <c r="C83" s="133"/>
      <c r="D83" s="133"/>
      <c r="E83" s="133"/>
      <c r="F83" s="133"/>
      <c r="G83" s="154">
        <f>'Spotřeba elektřiny'!BB83</f>
        <v>8.0000000000000016E-2</v>
      </c>
      <c r="H83" s="133"/>
      <c r="I83" s="133">
        <f t="shared" si="5"/>
        <v>8.0000000000000016E-2</v>
      </c>
      <c r="J83" s="128">
        <f t="shared" si="4"/>
        <v>9.393006809890801E-6</v>
      </c>
      <c r="K83" s="80"/>
      <c r="L83" s="81"/>
      <c r="M83" s="80"/>
      <c r="N83" s="81"/>
      <c r="O83" s="133"/>
      <c r="P83" s="133"/>
      <c r="Q83" s="133"/>
      <c r="R83" s="133"/>
      <c r="S83" s="133"/>
      <c r="T83" s="133"/>
      <c r="U83" s="133" t="s">
        <v>468</v>
      </c>
      <c r="V83" s="133"/>
      <c r="W83" s="133"/>
      <c r="X83" s="133">
        <v>1</v>
      </c>
      <c r="Y83" s="145" t="s">
        <v>207</v>
      </c>
    </row>
    <row r="84" spans="1:25" x14ac:dyDescent="0.3">
      <c r="A84" s="89" t="s">
        <v>108</v>
      </c>
      <c r="B84" s="146" t="s">
        <v>210</v>
      </c>
      <c r="C84" s="133"/>
      <c r="D84" s="133"/>
      <c r="E84" s="133"/>
      <c r="F84" s="133"/>
      <c r="G84" s="154">
        <f>'Spotřeba elektřiny'!BB84</f>
        <v>0</v>
      </c>
      <c r="H84" s="133"/>
      <c r="I84" s="133">
        <f t="shared" si="5"/>
        <v>0</v>
      </c>
      <c r="J84" s="128">
        <f t="shared" si="4"/>
        <v>0</v>
      </c>
      <c r="K84" s="80"/>
      <c r="L84" s="81"/>
      <c r="M84" s="80"/>
      <c r="N84" s="81"/>
      <c r="O84" s="133"/>
      <c r="P84" s="133"/>
      <c r="Q84" s="133"/>
      <c r="R84" s="133"/>
      <c r="S84" s="133"/>
      <c r="T84" s="133"/>
      <c r="U84" s="133" t="s">
        <v>468</v>
      </c>
      <c r="V84" s="133"/>
      <c r="W84" s="133"/>
      <c r="X84" s="133">
        <v>1</v>
      </c>
      <c r="Y84" s="145" t="s">
        <v>209</v>
      </c>
    </row>
    <row r="85" spans="1:25" x14ac:dyDescent="0.3">
      <c r="A85" s="89" t="s">
        <v>108</v>
      </c>
      <c r="B85" s="146" t="s">
        <v>212</v>
      </c>
      <c r="C85" s="133"/>
      <c r="D85" s="133"/>
      <c r="E85" s="133"/>
      <c r="F85" s="133"/>
      <c r="G85" s="154">
        <f>'Spotřeba elektřiny'!BB85</f>
        <v>0.114</v>
      </c>
      <c r="H85" s="133"/>
      <c r="I85" s="133">
        <f t="shared" si="5"/>
        <v>0.114</v>
      </c>
      <c r="J85" s="128">
        <f t="shared" si="4"/>
        <v>1.3385034704094389E-5</v>
      </c>
      <c r="K85" s="80"/>
      <c r="L85" s="81"/>
      <c r="M85" s="80"/>
      <c r="N85" s="81"/>
      <c r="O85" s="133"/>
      <c r="P85" s="133"/>
      <c r="Q85" s="133"/>
      <c r="R85" s="133"/>
      <c r="S85" s="133"/>
      <c r="T85" s="133"/>
      <c r="U85" s="133" t="s">
        <v>468</v>
      </c>
      <c r="V85" s="133"/>
      <c r="W85" s="133"/>
      <c r="X85" s="133">
        <v>1</v>
      </c>
      <c r="Y85" s="145" t="s">
        <v>211</v>
      </c>
    </row>
    <row r="86" spans="1:25" x14ac:dyDescent="0.3">
      <c r="A86" s="89" t="s">
        <v>108</v>
      </c>
      <c r="B86" s="146" t="s">
        <v>214</v>
      </c>
      <c r="C86" s="133"/>
      <c r="D86" s="133"/>
      <c r="E86" s="133"/>
      <c r="F86" s="133"/>
      <c r="G86" s="154">
        <f>'Spotřeba elektřiny'!BB86</f>
        <v>1.462</v>
      </c>
      <c r="H86" s="133"/>
      <c r="I86" s="133">
        <f t="shared" si="5"/>
        <v>1.462</v>
      </c>
      <c r="J86" s="128">
        <f t="shared" si="4"/>
        <v>1.7165719945075433E-4</v>
      </c>
      <c r="K86" s="80"/>
      <c r="L86" s="81"/>
      <c r="M86" s="80"/>
      <c r="N86" s="81"/>
      <c r="O86" s="133"/>
      <c r="P86" s="133"/>
      <c r="Q86" s="133"/>
      <c r="R86" s="133"/>
      <c r="S86" s="133"/>
      <c r="T86" s="133"/>
      <c r="U86" s="133" t="s">
        <v>468</v>
      </c>
      <c r="V86" s="133"/>
      <c r="W86" s="133"/>
      <c r="X86" s="133">
        <v>1</v>
      </c>
      <c r="Y86" s="145" t="s">
        <v>213</v>
      </c>
    </row>
    <row r="87" spans="1:25" x14ac:dyDescent="0.3">
      <c r="A87" s="89" t="s">
        <v>108</v>
      </c>
      <c r="B87" s="146" t="s">
        <v>216</v>
      </c>
      <c r="C87" s="133"/>
      <c r="D87" s="133"/>
      <c r="E87" s="133"/>
      <c r="F87" s="133"/>
      <c r="G87" s="154">
        <f>'Spotřeba elektřiny'!BB87</f>
        <v>0.125</v>
      </c>
      <c r="H87" s="133"/>
      <c r="I87" s="133">
        <f t="shared" si="5"/>
        <v>0.125</v>
      </c>
      <c r="J87" s="128">
        <f t="shared" si="4"/>
        <v>1.4676573140454374E-5</v>
      </c>
      <c r="K87" s="80"/>
      <c r="L87" s="81"/>
      <c r="M87" s="80"/>
      <c r="N87" s="81"/>
      <c r="O87" s="133"/>
      <c r="P87" s="133"/>
      <c r="Q87" s="133"/>
      <c r="R87" s="133"/>
      <c r="S87" s="133"/>
      <c r="T87" s="133"/>
      <c r="U87" s="133" t="s">
        <v>468</v>
      </c>
      <c r="V87" s="133"/>
      <c r="W87" s="133"/>
      <c r="X87" s="133">
        <v>1</v>
      </c>
      <c r="Y87" s="145" t="s">
        <v>215</v>
      </c>
    </row>
    <row r="88" spans="1:25" x14ac:dyDescent="0.3">
      <c r="A88" s="89" t="s">
        <v>108</v>
      </c>
      <c r="B88" s="146" t="s">
        <v>218</v>
      </c>
      <c r="C88" s="133"/>
      <c r="D88" s="133"/>
      <c r="E88" s="133"/>
      <c r="F88" s="133"/>
      <c r="G88" s="154">
        <f>'Spotřeba elektřiny'!BB88</f>
        <v>2.0999999999999998E-2</v>
      </c>
      <c r="H88" s="133"/>
      <c r="I88" s="133">
        <f t="shared" si="5"/>
        <v>2.0999999999999998E-2</v>
      </c>
      <c r="J88" s="128">
        <f t="shared" si="4"/>
        <v>2.4656642875963346E-6</v>
      </c>
      <c r="K88" s="80"/>
      <c r="L88" s="81"/>
      <c r="M88" s="80"/>
      <c r="N88" s="81"/>
      <c r="O88" s="133"/>
      <c r="P88" s="133"/>
      <c r="Q88" s="133"/>
      <c r="R88" s="133"/>
      <c r="S88" s="133"/>
      <c r="T88" s="133"/>
      <c r="U88" s="133" t="s">
        <v>468</v>
      </c>
      <c r="V88" s="133"/>
      <c r="W88" s="133"/>
      <c r="X88" s="133">
        <v>1</v>
      </c>
      <c r="Y88" s="145" t="s">
        <v>217</v>
      </c>
    </row>
    <row r="89" spans="1:25" x14ac:dyDescent="0.3">
      <c r="A89" s="89" t="s">
        <v>108</v>
      </c>
      <c r="B89" s="146" t="s">
        <v>220</v>
      </c>
      <c r="C89" s="133"/>
      <c r="D89" s="133"/>
      <c r="E89" s="133"/>
      <c r="F89" s="133"/>
      <c r="G89" s="154">
        <f>'Spotřeba elektřiny'!BB89</f>
        <v>8.0000000000000002E-3</v>
      </c>
      <c r="H89" s="133"/>
      <c r="I89" s="133">
        <f t="shared" si="5"/>
        <v>8.0000000000000002E-3</v>
      </c>
      <c r="J89" s="128">
        <f t="shared" si="4"/>
        <v>9.3930068098907993E-7</v>
      </c>
      <c r="K89" s="80"/>
      <c r="L89" s="81"/>
      <c r="M89" s="80"/>
      <c r="N89" s="81"/>
      <c r="O89" s="133"/>
      <c r="P89" s="133"/>
      <c r="Q89" s="133"/>
      <c r="R89" s="133"/>
      <c r="S89" s="133"/>
      <c r="T89" s="133"/>
      <c r="U89" s="133" t="s">
        <v>468</v>
      </c>
      <c r="V89" s="133"/>
      <c r="W89" s="133"/>
      <c r="X89" s="133">
        <v>1</v>
      </c>
      <c r="Y89" s="145" t="s">
        <v>219</v>
      </c>
    </row>
    <row r="90" spans="1:25" x14ac:dyDescent="0.3">
      <c r="A90" s="89" t="s">
        <v>108</v>
      </c>
      <c r="B90" s="146" t="s">
        <v>222</v>
      </c>
      <c r="C90" s="133"/>
      <c r="D90" s="133"/>
      <c r="E90" s="133"/>
      <c r="F90" s="133"/>
      <c r="G90" s="154">
        <f>'Spotřeba elektřiny'!BB90</f>
        <v>9.0000000000000011E-3</v>
      </c>
      <c r="H90" s="133"/>
      <c r="I90" s="133">
        <f t="shared" si="5"/>
        <v>9.0000000000000011E-3</v>
      </c>
      <c r="J90" s="128">
        <f t="shared" si="4"/>
        <v>1.0567132661127149E-6</v>
      </c>
      <c r="K90" s="80"/>
      <c r="L90" s="81"/>
      <c r="M90" s="80"/>
      <c r="N90" s="81"/>
      <c r="O90" s="133"/>
      <c r="P90" s="133"/>
      <c r="Q90" s="133"/>
      <c r="R90" s="133"/>
      <c r="S90" s="133"/>
      <c r="T90" s="133"/>
      <c r="U90" s="133" t="s">
        <v>468</v>
      </c>
      <c r="V90" s="133"/>
      <c r="W90" s="133"/>
      <c r="X90" s="133">
        <v>1</v>
      </c>
      <c r="Y90" s="145" t="s">
        <v>221</v>
      </c>
    </row>
    <row r="91" spans="1:25" x14ac:dyDescent="0.3">
      <c r="A91" s="89" t="s">
        <v>108</v>
      </c>
      <c r="B91" s="146" t="s">
        <v>224</v>
      </c>
      <c r="C91" s="133"/>
      <c r="D91" s="133"/>
      <c r="E91" s="133"/>
      <c r="F91" s="133"/>
      <c r="G91" s="154">
        <f>'Spotřeba elektřiny'!BB91</f>
        <v>0</v>
      </c>
      <c r="H91" s="133"/>
      <c r="I91" s="133">
        <f t="shared" si="5"/>
        <v>0</v>
      </c>
      <c r="J91" s="128">
        <f t="shared" si="4"/>
        <v>0</v>
      </c>
      <c r="K91" s="80"/>
      <c r="L91" s="81"/>
      <c r="M91" s="80"/>
      <c r="N91" s="81"/>
      <c r="O91" s="133"/>
      <c r="P91" s="133"/>
      <c r="Q91" s="133"/>
      <c r="R91" s="133"/>
      <c r="S91" s="133"/>
      <c r="T91" s="133"/>
      <c r="U91" s="133" t="s">
        <v>468</v>
      </c>
      <c r="V91" s="133"/>
      <c r="W91" s="133"/>
      <c r="X91" s="133">
        <v>1</v>
      </c>
      <c r="Y91" s="145" t="s">
        <v>223</v>
      </c>
    </row>
    <row r="92" spans="1:25" x14ac:dyDescent="0.3">
      <c r="A92" s="89" t="s">
        <v>108</v>
      </c>
      <c r="B92" s="146" t="s">
        <v>226</v>
      </c>
      <c r="C92" s="133"/>
      <c r="D92" s="133"/>
      <c r="E92" s="133"/>
      <c r="F92" s="133"/>
      <c r="G92" s="154">
        <f>'Spotřeba elektřiny'!BB92</f>
        <v>0.01</v>
      </c>
      <c r="H92" s="133"/>
      <c r="I92" s="133">
        <f t="shared" si="5"/>
        <v>0.01</v>
      </c>
      <c r="J92" s="128">
        <f t="shared" si="4"/>
        <v>1.1741258512363499E-6</v>
      </c>
      <c r="K92" s="80"/>
      <c r="L92" s="81"/>
      <c r="M92" s="80"/>
      <c r="N92" s="81"/>
      <c r="O92" s="133"/>
      <c r="P92" s="133"/>
      <c r="Q92" s="133"/>
      <c r="R92" s="133"/>
      <c r="S92" s="133"/>
      <c r="T92" s="133"/>
      <c r="U92" s="133" t="s">
        <v>468</v>
      </c>
      <c r="V92" s="133"/>
      <c r="W92" s="133"/>
      <c r="X92" s="133">
        <v>1</v>
      </c>
      <c r="Y92" s="145" t="s">
        <v>225</v>
      </c>
    </row>
    <row r="93" spans="1:25" x14ac:dyDescent="0.3">
      <c r="A93" s="89" t="s">
        <v>108</v>
      </c>
      <c r="B93" s="146" t="s">
        <v>228</v>
      </c>
      <c r="C93" s="133"/>
      <c r="D93" s="133"/>
      <c r="E93" s="133"/>
      <c r="F93" s="133"/>
      <c r="G93" s="154">
        <f>'Spotřeba elektřiny'!BB93</f>
        <v>7.0000000000000001E-3</v>
      </c>
      <c r="H93" s="133"/>
      <c r="I93" s="133">
        <f t="shared" si="5"/>
        <v>7.0000000000000001E-3</v>
      </c>
      <c r="J93" s="128">
        <f t="shared" si="4"/>
        <v>8.2188809586544494E-7</v>
      </c>
      <c r="K93" s="80"/>
      <c r="L93" s="81"/>
      <c r="M93" s="80"/>
      <c r="N93" s="81"/>
      <c r="O93" s="133"/>
      <c r="P93" s="133"/>
      <c r="Q93" s="133"/>
      <c r="R93" s="133"/>
      <c r="S93" s="133"/>
      <c r="T93" s="133"/>
      <c r="U93" s="133" t="s">
        <v>468</v>
      </c>
      <c r="V93" s="133"/>
      <c r="W93" s="133"/>
      <c r="X93" s="133">
        <v>1</v>
      </c>
      <c r="Y93" s="145" t="s">
        <v>227</v>
      </c>
    </row>
    <row r="94" spans="1:25" x14ac:dyDescent="0.3">
      <c r="A94" s="89" t="s">
        <v>44</v>
      </c>
      <c r="B94" s="146" t="s">
        <v>230</v>
      </c>
      <c r="C94" s="133"/>
      <c r="D94" s="133"/>
      <c r="E94" s="133"/>
      <c r="F94" s="133"/>
      <c r="G94" s="154">
        <f>'Spotřeba elektřiny'!BB94</f>
        <v>0</v>
      </c>
      <c r="H94" s="133"/>
      <c r="I94" s="133">
        <f t="shared" si="5"/>
        <v>0</v>
      </c>
      <c r="J94" s="128">
        <f t="shared" si="4"/>
        <v>0</v>
      </c>
      <c r="K94" s="80"/>
      <c r="L94" s="81"/>
      <c r="M94" s="80"/>
      <c r="N94" s="81"/>
      <c r="O94" s="133"/>
      <c r="P94" s="133"/>
      <c r="Q94" s="133"/>
      <c r="R94" s="133"/>
      <c r="S94" s="133"/>
      <c r="T94" s="133"/>
      <c r="U94" s="133" t="s">
        <v>468</v>
      </c>
      <c r="V94" s="133"/>
      <c r="W94" s="133"/>
      <c r="X94" s="133">
        <v>1</v>
      </c>
      <c r="Y94" s="145" t="s">
        <v>229</v>
      </c>
    </row>
    <row r="95" spans="1:25" x14ac:dyDescent="0.3">
      <c r="A95" s="89" t="s">
        <v>232</v>
      </c>
      <c r="B95" s="146" t="s">
        <v>233</v>
      </c>
      <c r="C95" s="133"/>
      <c r="D95" s="133"/>
      <c r="E95" s="133"/>
      <c r="F95" s="133"/>
      <c r="G95" s="154">
        <f>'Spotřeba elektřiny'!BB95</f>
        <v>3.81</v>
      </c>
      <c r="H95" s="133"/>
      <c r="I95" s="133">
        <f>G95+IF(E95&gt;0,E95,F95)</f>
        <v>3.81</v>
      </c>
      <c r="J95" s="128">
        <f t="shared" si="4"/>
        <v>4.4734194932104931E-4</v>
      </c>
      <c r="K95" s="80"/>
      <c r="L95" s="81"/>
      <c r="M95" s="80"/>
      <c r="N95" s="81"/>
      <c r="O95" s="133"/>
      <c r="P95" s="133"/>
      <c r="Q95" s="133"/>
      <c r="R95" s="133"/>
      <c r="S95" s="133"/>
      <c r="T95" s="133"/>
      <c r="U95" s="133" t="s">
        <v>468</v>
      </c>
      <c r="V95" s="133"/>
      <c r="W95" s="133"/>
      <c r="X95" s="133">
        <v>1</v>
      </c>
      <c r="Y95" s="145" t="s">
        <v>231</v>
      </c>
    </row>
    <row r="96" spans="1:25" x14ac:dyDescent="0.3">
      <c r="A96" s="89" t="s">
        <v>237</v>
      </c>
      <c r="B96" s="146" t="s">
        <v>238</v>
      </c>
      <c r="C96" s="133" t="s">
        <v>452</v>
      </c>
      <c r="D96" s="133" t="s">
        <v>452</v>
      </c>
      <c r="E96" s="133"/>
      <c r="F96" s="133"/>
      <c r="G96" s="154">
        <v>65.592516000000003</v>
      </c>
      <c r="H96" s="133"/>
      <c r="I96" s="133"/>
      <c r="J96" s="128"/>
      <c r="K96" s="80"/>
      <c r="L96" s="81"/>
      <c r="M96" s="80"/>
      <c r="N96" s="81"/>
      <c r="O96" s="133"/>
      <c r="P96" s="133"/>
      <c r="Q96" s="133"/>
      <c r="R96" s="133"/>
      <c r="S96" s="133"/>
      <c r="T96" s="133"/>
      <c r="U96" s="133" t="s">
        <v>468</v>
      </c>
      <c r="V96" s="133"/>
      <c r="W96" s="133"/>
      <c r="X96" s="133">
        <v>1</v>
      </c>
      <c r="Y96" s="145" t="s">
        <v>236</v>
      </c>
    </row>
    <row r="97" spans="1:25" x14ac:dyDescent="0.3">
      <c r="A97" s="89" t="s">
        <v>237</v>
      </c>
      <c r="B97" s="146" t="s">
        <v>240</v>
      </c>
      <c r="C97" s="133" t="s">
        <v>452</v>
      </c>
      <c r="D97" s="133" t="s">
        <v>452</v>
      </c>
      <c r="E97" s="133"/>
      <c r="F97" s="133"/>
      <c r="G97" s="154">
        <v>63.271146999999999</v>
      </c>
      <c r="H97" s="133"/>
      <c r="I97" s="133"/>
      <c r="J97" s="128"/>
      <c r="K97" s="80"/>
      <c r="L97" s="81"/>
      <c r="M97" s="80"/>
      <c r="N97" s="81"/>
      <c r="O97" s="133"/>
      <c r="P97" s="133"/>
      <c r="Q97" s="133"/>
      <c r="R97" s="133"/>
      <c r="S97" s="133"/>
      <c r="T97" s="133"/>
      <c r="U97" s="133" t="s">
        <v>468</v>
      </c>
      <c r="V97" s="133"/>
      <c r="W97" s="133"/>
      <c r="X97" s="133">
        <v>1</v>
      </c>
      <c r="Y97" s="145" t="s">
        <v>239</v>
      </c>
    </row>
    <row r="98" spans="1:25" x14ac:dyDescent="0.3">
      <c r="A98" s="89" t="s">
        <v>237</v>
      </c>
      <c r="B98" s="146" t="s">
        <v>242</v>
      </c>
      <c r="C98" s="133" t="s">
        <v>452</v>
      </c>
      <c r="D98" s="133" t="s">
        <v>452</v>
      </c>
      <c r="E98" s="133"/>
      <c r="F98" s="133"/>
      <c r="G98" s="154">
        <v>55.925825000000003</v>
      </c>
      <c r="H98" s="133"/>
      <c r="I98" s="133"/>
      <c r="J98" s="128"/>
      <c r="K98" s="80"/>
      <c r="L98" s="81"/>
      <c r="M98" s="80"/>
      <c r="N98" s="81"/>
      <c r="O98" s="133"/>
      <c r="P98" s="133"/>
      <c r="Q98" s="133"/>
      <c r="R98" s="133"/>
      <c r="S98" s="133"/>
      <c r="T98" s="133"/>
      <c r="U98" s="133" t="s">
        <v>468</v>
      </c>
      <c r="V98" s="133"/>
      <c r="W98" s="133"/>
      <c r="X98" s="133">
        <v>1</v>
      </c>
      <c r="Y98" s="145" t="s">
        <v>241</v>
      </c>
    </row>
    <row r="99" spans="1:25" x14ac:dyDescent="0.3">
      <c r="A99" s="89" t="s">
        <v>237</v>
      </c>
      <c r="B99" s="146" t="s">
        <v>244</v>
      </c>
      <c r="C99" s="133" t="s">
        <v>453</v>
      </c>
      <c r="D99" s="133" t="s">
        <v>453</v>
      </c>
      <c r="E99" s="133"/>
      <c r="F99" s="133"/>
      <c r="G99" s="154">
        <v>54.160291999999998</v>
      </c>
      <c r="H99" s="133"/>
      <c r="I99" s="133"/>
      <c r="J99" s="128"/>
      <c r="K99" s="80"/>
      <c r="L99" s="81"/>
      <c r="M99" s="80"/>
      <c r="N99" s="81"/>
      <c r="O99" s="133"/>
      <c r="P99" s="133"/>
      <c r="Q99" s="133"/>
      <c r="R99" s="133"/>
      <c r="S99" s="133"/>
      <c r="T99" s="133"/>
      <c r="U99" s="133" t="s">
        <v>468</v>
      </c>
      <c r="V99" s="133"/>
      <c r="W99" s="133"/>
      <c r="X99" s="133">
        <v>1</v>
      </c>
      <c r="Y99" s="145" t="s">
        <v>243</v>
      </c>
    </row>
    <row r="100" spans="1:25" x14ac:dyDescent="0.3">
      <c r="A100" s="89" t="s">
        <v>237</v>
      </c>
      <c r="B100" s="146" t="s">
        <v>246</v>
      </c>
      <c r="C100" s="133" t="s">
        <v>452</v>
      </c>
      <c r="D100" s="133" t="s">
        <v>452</v>
      </c>
      <c r="E100" s="133"/>
      <c r="F100" s="133"/>
      <c r="G100" s="154">
        <v>51.368450000000003</v>
      </c>
      <c r="H100" s="133"/>
      <c r="I100" s="133"/>
      <c r="J100" s="128"/>
      <c r="K100" s="80"/>
      <c r="L100" s="81"/>
      <c r="M100" s="80"/>
      <c r="N100" s="81"/>
      <c r="O100" s="133"/>
      <c r="P100" s="133"/>
      <c r="Q100" s="133"/>
      <c r="R100" s="133"/>
      <c r="S100" s="133"/>
      <c r="T100" s="133"/>
      <c r="U100" s="133" t="s">
        <v>468</v>
      </c>
      <c r="V100" s="133"/>
      <c r="W100" s="133"/>
      <c r="X100" s="133">
        <v>1</v>
      </c>
      <c r="Y100" s="145" t="s">
        <v>245</v>
      </c>
    </row>
    <row r="101" spans="1:25" x14ac:dyDescent="0.3">
      <c r="A101" s="89" t="s">
        <v>237</v>
      </c>
      <c r="B101" s="146" t="s">
        <v>248</v>
      </c>
      <c r="C101" s="133" t="s">
        <v>452</v>
      </c>
      <c r="D101" s="133" t="s">
        <v>452</v>
      </c>
      <c r="E101" s="133"/>
      <c r="F101" s="133"/>
      <c r="G101" s="154">
        <v>48.667110000000001</v>
      </c>
      <c r="H101" s="133"/>
      <c r="I101" s="133"/>
      <c r="J101" s="128"/>
      <c r="K101" s="80"/>
      <c r="L101" s="81"/>
      <c r="M101" s="80"/>
      <c r="N101" s="81"/>
      <c r="O101" s="133"/>
      <c r="P101" s="133"/>
      <c r="Q101" s="133"/>
      <c r="R101" s="133"/>
      <c r="S101" s="133"/>
      <c r="T101" s="133"/>
      <c r="U101" s="133" t="s">
        <v>468</v>
      </c>
      <c r="V101" s="133"/>
      <c r="W101" s="133"/>
      <c r="X101" s="133">
        <v>1</v>
      </c>
      <c r="Y101" s="145" t="s">
        <v>247</v>
      </c>
    </row>
    <row r="102" spans="1:25" x14ac:dyDescent="0.3">
      <c r="A102" s="89" t="s">
        <v>237</v>
      </c>
      <c r="B102" s="146" t="s">
        <v>250</v>
      </c>
      <c r="C102" s="133" t="s">
        <v>452</v>
      </c>
      <c r="D102" s="133" t="s">
        <v>452</v>
      </c>
      <c r="E102" s="133"/>
      <c r="F102" s="133"/>
      <c r="G102" s="154">
        <v>45.115130000000001</v>
      </c>
      <c r="H102" s="133"/>
      <c r="I102" s="133"/>
      <c r="J102" s="128"/>
      <c r="K102" s="80"/>
      <c r="L102" s="81"/>
      <c r="M102" s="80"/>
      <c r="N102" s="81"/>
      <c r="O102" s="133"/>
      <c r="P102" s="133"/>
      <c r="Q102" s="133"/>
      <c r="R102" s="133"/>
      <c r="S102" s="133"/>
      <c r="T102" s="133"/>
      <c r="U102" s="133" t="s">
        <v>468</v>
      </c>
      <c r="V102" s="133"/>
      <c r="W102" s="133"/>
      <c r="X102" s="133">
        <v>1</v>
      </c>
      <c r="Y102" s="145" t="s">
        <v>249</v>
      </c>
    </row>
    <row r="103" spans="1:25" x14ac:dyDescent="0.3">
      <c r="A103" s="89" t="s">
        <v>237</v>
      </c>
      <c r="B103" s="146" t="s">
        <v>252</v>
      </c>
      <c r="C103" s="133" t="s">
        <v>452</v>
      </c>
      <c r="D103" s="133" t="s">
        <v>452</v>
      </c>
      <c r="E103" s="133"/>
      <c r="F103" s="133"/>
      <c r="G103" s="154">
        <v>42.515816000000001</v>
      </c>
      <c r="H103" s="133"/>
      <c r="I103" s="133"/>
      <c r="J103" s="128"/>
      <c r="K103" s="80"/>
      <c r="L103" s="81"/>
      <c r="M103" s="80"/>
      <c r="N103" s="81"/>
      <c r="O103" s="133"/>
      <c r="P103" s="133"/>
      <c r="Q103" s="133"/>
      <c r="R103" s="133"/>
      <c r="S103" s="133"/>
      <c r="T103" s="133"/>
      <c r="U103" s="133" t="s">
        <v>468</v>
      </c>
      <c r="V103" s="133"/>
      <c r="W103" s="133"/>
      <c r="X103" s="133">
        <v>1</v>
      </c>
      <c r="Y103" s="145" t="s">
        <v>251</v>
      </c>
    </row>
    <row r="104" spans="1:25" x14ac:dyDescent="0.3">
      <c r="A104" s="89" t="s">
        <v>237</v>
      </c>
      <c r="B104" s="146" t="s">
        <v>254</v>
      </c>
      <c r="C104" s="133" t="s">
        <v>452</v>
      </c>
      <c r="D104" s="133" t="s">
        <v>452</v>
      </c>
      <c r="E104" s="133"/>
      <c r="F104" s="133"/>
      <c r="G104" s="154">
        <v>38.072727</v>
      </c>
      <c r="H104" s="133"/>
      <c r="I104" s="133"/>
      <c r="J104" s="128"/>
      <c r="K104" s="80"/>
      <c r="L104" s="81"/>
      <c r="M104" s="80"/>
      <c r="N104" s="81"/>
      <c r="O104" s="133"/>
      <c r="P104" s="133"/>
      <c r="Q104" s="133"/>
      <c r="R104" s="133"/>
      <c r="S104" s="133"/>
      <c r="T104" s="133"/>
      <c r="U104" s="133" t="s">
        <v>468</v>
      </c>
      <c r="V104" s="133"/>
      <c r="W104" s="133"/>
      <c r="X104" s="133">
        <v>1</v>
      </c>
      <c r="Y104" s="145" t="s">
        <v>253</v>
      </c>
    </row>
    <row r="105" spans="1:25" x14ac:dyDescent="0.3">
      <c r="A105" s="89" t="s">
        <v>237</v>
      </c>
      <c r="B105" s="146" t="s">
        <v>256</v>
      </c>
      <c r="C105" s="133" t="s">
        <v>452</v>
      </c>
      <c r="D105" s="133" t="s">
        <v>452</v>
      </c>
      <c r="E105" s="133"/>
      <c r="F105" s="133"/>
      <c r="G105" s="154">
        <v>38.059466999999998</v>
      </c>
      <c r="H105" s="133"/>
      <c r="I105" s="133"/>
      <c r="J105" s="128"/>
      <c r="K105" s="80"/>
      <c r="L105" s="81"/>
      <c r="M105" s="80"/>
      <c r="N105" s="81"/>
      <c r="O105" s="133"/>
      <c r="P105" s="133"/>
      <c r="Q105" s="133"/>
      <c r="R105" s="133"/>
      <c r="S105" s="133"/>
      <c r="T105" s="133"/>
      <c r="U105" s="133" t="s">
        <v>468</v>
      </c>
      <c r="V105" s="133"/>
      <c r="W105" s="133"/>
      <c r="X105" s="133">
        <v>1</v>
      </c>
      <c r="Y105" s="145" t="s">
        <v>255</v>
      </c>
    </row>
    <row r="106" spans="1:25" x14ac:dyDescent="0.3">
      <c r="A106" s="89" t="s">
        <v>237</v>
      </c>
      <c r="B106" s="146" t="s">
        <v>258</v>
      </c>
      <c r="C106" s="133" t="s">
        <v>452</v>
      </c>
      <c r="D106" s="133" t="s">
        <v>452</v>
      </c>
      <c r="E106" s="133"/>
      <c r="F106" s="133"/>
      <c r="G106" s="154">
        <v>37.742260000000002</v>
      </c>
      <c r="H106" s="133"/>
      <c r="I106" s="133"/>
      <c r="J106" s="128"/>
      <c r="K106" s="80"/>
      <c r="L106" s="81"/>
      <c r="M106" s="80"/>
      <c r="N106" s="81"/>
      <c r="O106" s="133"/>
      <c r="P106" s="133"/>
      <c r="Q106" s="133"/>
      <c r="R106" s="133"/>
      <c r="S106" s="133"/>
      <c r="T106" s="133"/>
      <c r="U106" s="133" t="s">
        <v>468</v>
      </c>
      <c r="V106" s="133"/>
      <c r="W106" s="133"/>
      <c r="X106" s="133">
        <v>1</v>
      </c>
      <c r="Y106" s="145" t="s">
        <v>257</v>
      </c>
    </row>
    <row r="107" spans="1:25" x14ac:dyDescent="0.3">
      <c r="A107" s="89" t="s">
        <v>237</v>
      </c>
      <c r="B107" s="146" t="s">
        <v>260</v>
      </c>
      <c r="C107" s="133" t="s">
        <v>452</v>
      </c>
      <c r="D107" s="133" t="s">
        <v>452</v>
      </c>
      <c r="E107" s="133"/>
      <c r="F107" s="133"/>
      <c r="G107" s="154">
        <v>35.585102999999997</v>
      </c>
      <c r="H107" s="133"/>
      <c r="I107" s="133"/>
      <c r="J107" s="128"/>
      <c r="K107" s="80"/>
      <c r="L107" s="81"/>
      <c r="M107" s="80"/>
      <c r="N107" s="81"/>
      <c r="O107" s="133"/>
      <c r="P107" s="133"/>
      <c r="Q107" s="133"/>
      <c r="R107" s="133"/>
      <c r="S107" s="133"/>
      <c r="T107" s="133"/>
      <c r="U107" s="133" t="s">
        <v>468</v>
      </c>
      <c r="V107" s="133"/>
      <c r="W107" s="133"/>
      <c r="X107" s="133">
        <v>1</v>
      </c>
      <c r="Y107" s="145" t="s">
        <v>259</v>
      </c>
    </row>
    <row r="108" spans="1:25" x14ac:dyDescent="0.3">
      <c r="A108" s="89" t="s">
        <v>237</v>
      </c>
      <c r="B108" s="146" t="s">
        <v>262</v>
      </c>
      <c r="C108" s="133" t="s">
        <v>452</v>
      </c>
      <c r="D108" s="133" t="s">
        <v>452</v>
      </c>
      <c r="E108" s="133"/>
      <c r="F108" s="133"/>
      <c r="G108" s="154">
        <v>35.351768</v>
      </c>
      <c r="H108" s="133"/>
      <c r="I108" s="133"/>
      <c r="J108" s="128"/>
      <c r="K108" s="80"/>
      <c r="L108" s="81"/>
      <c r="M108" s="80"/>
      <c r="N108" s="81"/>
      <c r="O108" s="133"/>
      <c r="P108" s="133"/>
      <c r="Q108" s="133"/>
      <c r="R108" s="133"/>
      <c r="S108" s="133"/>
      <c r="T108" s="133"/>
      <c r="U108" s="133" t="s">
        <v>468</v>
      </c>
      <c r="V108" s="133"/>
      <c r="W108" s="133"/>
      <c r="X108" s="133">
        <v>1</v>
      </c>
      <c r="Y108" s="145" t="s">
        <v>261</v>
      </c>
    </row>
    <row r="109" spans="1:25" x14ac:dyDescent="0.3">
      <c r="A109" s="89" t="s">
        <v>237</v>
      </c>
      <c r="B109" s="146" t="s">
        <v>264</v>
      </c>
      <c r="C109" s="133" t="s">
        <v>452</v>
      </c>
      <c r="D109" s="133" t="s">
        <v>452</v>
      </c>
      <c r="E109" s="133"/>
      <c r="F109" s="133"/>
      <c r="G109" s="154">
        <v>35.040218000000003</v>
      </c>
      <c r="H109" s="133"/>
      <c r="I109" s="133"/>
      <c r="J109" s="128"/>
      <c r="K109" s="80"/>
      <c r="L109" s="81"/>
      <c r="M109" s="80"/>
      <c r="N109" s="81"/>
      <c r="O109" s="133"/>
      <c r="P109" s="133"/>
      <c r="Q109" s="133"/>
      <c r="R109" s="133"/>
      <c r="S109" s="133"/>
      <c r="T109" s="133"/>
      <c r="U109" s="133" t="s">
        <v>468</v>
      </c>
      <c r="V109" s="133"/>
      <c r="W109" s="133"/>
      <c r="X109" s="133">
        <v>1</v>
      </c>
      <c r="Y109" s="145" t="s">
        <v>263</v>
      </c>
    </row>
    <row r="110" spans="1:25" x14ac:dyDescent="0.3">
      <c r="A110" s="89" t="s">
        <v>237</v>
      </c>
      <c r="B110" s="146" t="s">
        <v>266</v>
      </c>
      <c r="C110" s="133" t="s">
        <v>452</v>
      </c>
      <c r="D110" s="133" t="s">
        <v>452</v>
      </c>
      <c r="E110" s="133"/>
      <c r="F110" s="133"/>
      <c r="G110" s="154">
        <v>34.949649000000001</v>
      </c>
      <c r="H110" s="133"/>
      <c r="I110" s="133"/>
      <c r="J110" s="128"/>
      <c r="K110" s="80"/>
      <c r="L110" s="81"/>
      <c r="M110" s="80"/>
      <c r="N110" s="81"/>
      <c r="O110" s="133"/>
      <c r="P110" s="133"/>
      <c r="Q110" s="133"/>
      <c r="R110" s="133"/>
      <c r="S110" s="133"/>
      <c r="T110" s="133"/>
      <c r="U110" s="133" t="s">
        <v>468</v>
      </c>
      <c r="V110" s="133"/>
      <c r="W110" s="133"/>
      <c r="X110" s="133">
        <v>1</v>
      </c>
      <c r="Y110" s="145" t="s">
        <v>265</v>
      </c>
    </row>
    <row r="111" spans="1:25" x14ac:dyDescent="0.3">
      <c r="A111" s="89" t="s">
        <v>237</v>
      </c>
      <c r="B111" s="146" t="s">
        <v>268</v>
      </c>
      <c r="C111" s="133" t="s">
        <v>452</v>
      </c>
      <c r="D111" s="133" t="s">
        <v>452</v>
      </c>
      <c r="E111" s="133"/>
      <c r="F111" s="133"/>
      <c r="G111" s="154">
        <v>32.982624999999999</v>
      </c>
      <c r="H111" s="133"/>
      <c r="I111" s="133"/>
      <c r="J111" s="128"/>
      <c r="K111" s="80"/>
      <c r="L111" s="81"/>
      <c r="M111" s="80"/>
      <c r="N111" s="81"/>
      <c r="O111" s="133"/>
      <c r="P111" s="133"/>
      <c r="Q111" s="133"/>
      <c r="R111" s="133"/>
      <c r="S111" s="133"/>
      <c r="T111" s="133"/>
      <c r="U111" s="133" t="s">
        <v>468</v>
      </c>
      <c r="V111" s="133"/>
      <c r="W111" s="133"/>
      <c r="X111" s="133">
        <v>1</v>
      </c>
      <c r="Y111" s="145" t="s">
        <v>267</v>
      </c>
    </row>
    <row r="112" spans="1:25" x14ac:dyDescent="0.3">
      <c r="A112" s="89" t="s">
        <v>237</v>
      </c>
      <c r="B112" s="146" t="s">
        <v>270</v>
      </c>
      <c r="C112" s="133" t="s">
        <v>452</v>
      </c>
      <c r="D112" s="133" t="s">
        <v>452</v>
      </c>
      <c r="E112" s="133"/>
      <c r="F112" s="133"/>
      <c r="G112" s="154">
        <v>32.413395000000001</v>
      </c>
      <c r="H112" s="133"/>
      <c r="I112" s="133"/>
      <c r="J112" s="128"/>
      <c r="K112" s="80"/>
      <c r="L112" s="81"/>
      <c r="M112" s="80"/>
      <c r="N112" s="81"/>
      <c r="O112" s="133"/>
      <c r="P112" s="133"/>
      <c r="Q112" s="133"/>
      <c r="R112" s="133"/>
      <c r="S112" s="133"/>
      <c r="T112" s="133"/>
      <c r="U112" s="133" t="s">
        <v>468</v>
      </c>
      <c r="V112" s="133"/>
      <c r="W112" s="133"/>
      <c r="X112" s="133">
        <v>1</v>
      </c>
      <c r="Y112" s="145" t="s">
        <v>269</v>
      </c>
    </row>
    <row r="113" spans="1:25" x14ac:dyDescent="0.3">
      <c r="A113" s="89" t="s">
        <v>237</v>
      </c>
      <c r="B113" s="146" t="s">
        <v>272</v>
      </c>
      <c r="C113" s="133" t="s">
        <v>452</v>
      </c>
      <c r="D113" s="133" t="s">
        <v>452</v>
      </c>
      <c r="E113" s="133"/>
      <c r="F113" s="133"/>
      <c r="G113" s="154">
        <v>32.185184999999997</v>
      </c>
      <c r="H113" s="133"/>
      <c r="I113" s="133"/>
      <c r="J113" s="128"/>
      <c r="K113" s="80"/>
      <c r="L113" s="81"/>
      <c r="M113" s="80"/>
      <c r="N113" s="81"/>
      <c r="O113" s="133"/>
      <c r="P113" s="133"/>
      <c r="Q113" s="133"/>
      <c r="R113" s="133"/>
      <c r="S113" s="133"/>
      <c r="T113" s="133"/>
      <c r="U113" s="133" t="s">
        <v>468</v>
      </c>
      <c r="V113" s="133"/>
      <c r="W113" s="133"/>
      <c r="X113" s="133">
        <v>1</v>
      </c>
      <c r="Y113" s="145" t="s">
        <v>271</v>
      </c>
    </row>
    <row r="114" spans="1:25" x14ac:dyDescent="0.3">
      <c r="A114" s="89" t="s">
        <v>237</v>
      </c>
      <c r="B114" s="146" t="s">
        <v>274</v>
      </c>
      <c r="C114" s="133" t="s">
        <v>452</v>
      </c>
      <c r="D114" s="133" t="s">
        <v>452</v>
      </c>
      <c r="E114" s="133"/>
      <c r="F114" s="133"/>
      <c r="G114" s="154">
        <v>31.940569</v>
      </c>
      <c r="H114" s="133"/>
      <c r="I114" s="133"/>
      <c r="J114" s="128"/>
      <c r="K114" s="80"/>
      <c r="L114" s="81"/>
      <c r="M114" s="80"/>
      <c r="N114" s="81"/>
      <c r="O114" s="133"/>
      <c r="P114" s="133"/>
      <c r="Q114" s="133"/>
      <c r="R114" s="133"/>
      <c r="S114" s="133"/>
      <c r="T114" s="133"/>
      <c r="U114" s="133" t="s">
        <v>468</v>
      </c>
      <c r="V114" s="133"/>
      <c r="W114" s="133"/>
      <c r="X114" s="133">
        <v>1</v>
      </c>
      <c r="Y114" s="145" t="s">
        <v>273</v>
      </c>
    </row>
    <row r="115" spans="1:25" x14ac:dyDescent="0.3">
      <c r="A115" s="89" t="s">
        <v>237</v>
      </c>
      <c r="B115" s="146" t="s">
        <v>276</v>
      </c>
      <c r="C115" s="133" t="s">
        <v>452</v>
      </c>
      <c r="D115" s="133" t="s">
        <v>452</v>
      </c>
      <c r="E115" s="133"/>
      <c r="F115" s="133"/>
      <c r="G115" s="154">
        <v>31.877482000000001</v>
      </c>
      <c r="H115" s="133"/>
      <c r="I115" s="133"/>
      <c r="J115" s="128"/>
      <c r="K115" s="80"/>
      <c r="L115" s="81"/>
      <c r="M115" s="80"/>
      <c r="N115" s="81"/>
      <c r="O115" s="133"/>
      <c r="P115" s="133"/>
      <c r="Q115" s="133"/>
      <c r="R115" s="133"/>
      <c r="S115" s="133"/>
      <c r="T115" s="133"/>
      <c r="U115" s="133" t="s">
        <v>468</v>
      </c>
      <c r="V115" s="133"/>
      <c r="W115" s="133"/>
      <c r="X115" s="133">
        <v>1</v>
      </c>
      <c r="Y115" s="145" t="s">
        <v>275</v>
      </c>
    </row>
    <row r="116" spans="1:25" x14ac:dyDescent="0.3">
      <c r="A116" s="89" t="s">
        <v>237</v>
      </c>
      <c r="B116" s="146" t="s">
        <v>278</v>
      </c>
      <c r="C116" s="133" t="s">
        <v>452</v>
      </c>
      <c r="D116" s="133" t="s">
        <v>452</v>
      </c>
      <c r="E116" s="133"/>
      <c r="F116" s="133"/>
      <c r="G116" s="154">
        <v>31.486094999999999</v>
      </c>
      <c r="H116" s="133"/>
      <c r="I116" s="133"/>
      <c r="J116" s="128"/>
      <c r="K116" s="80"/>
      <c r="L116" s="81"/>
      <c r="M116" s="80"/>
      <c r="N116" s="81"/>
      <c r="O116" s="133"/>
      <c r="P116" s="133"/>
      <c r="Q116" s="133"/>
      <c r="R116" s="133"/>
      <c r="S116" s="133"/>
      <c r="T116" s="133"/>
      <c r="U116" s="133" t="s">
        <v>468</v>
      </c>
      <c r="V116" s="133"/>
      <c r="W116" s="133"/>
      <c r="X116" s="133">
        <v>1</v>
      </c>
      <c r="Y116" s="145" t="s">
        <v>277</v>
      </c>
    </row>
    <row r="117" spans="1:25" x14ac:dyDescent="0.3">
      <c r="A117" s="89" t="s">
        <v>237</v>
      </c>
      <c r="B117" s="146" t="s">
        <v>280</v>
      </c>
      <c r="C117" s="133" t="s">
        <v>452</v>
      </c>
      <c r="D117" s="133" t="s">
        <v>452</v>
      </c>
      <c r="E117" s="133"/>
      <c r="F117" s="133"/>
      <c r="G117" s="154">
        <v>29.965805</v>
      </c>
      <c r="H117" s="133"/>
      <c r="I117" s="133"/>
      <c r="J117" s="128"/>
      <c r="K117" s="80"/>
      <c r="L117" s="81"/>
      <c r="M117" s="80"/>
      <c r="N117" s="81"/>
      <c r="O117" s="133"/>
      <c r="P117" s="133"/>
      <c r="Q117" s="133"/>
      <c r="R117" s="133"/>
      <c r="S117" s="133"/>
      <c r="T117" s="133"/>
      <c r="U117" s="133" t="s">
        <v>468</v>
      </c>
      <c r="V117" s="133"/>
      <c r="W117" s="133"/>
      <c r="X117" s="133">
        <v>1</v>
      </c>
      <c r="Y117" s="145" t="s">
        <v>279</v>
      </c>
    </row>
    <row r="118" spans="1:25" x14ac:dyDescent="0.3">
      <c r="A118" s="89" t="s">
        <v>237</v>
      </c>
      <c r="B118" s="146" t="s">
        <v>282</v>
      </c>
      <c r="C118" s="133" t="s">
        <v>452</v>
      </c>
      <c r="D118" s="133" t="s">
        <v>452</v>
      </c>
      <c r="E118" s="133"/>
      <c r="F118" s="133"/>
      <c r="G118" s="154">
        <v>29.954177999999999</v>
      </c>
      <c r="H118" s="133"/>
      <c r="I118" s="133"/>
      <c r="J118" s="128"/>
      <c r="K118" s="80"/>
      <c r="L118" s="81"/>
      <c r="M118" s="80"/>
      <c r="N118" s="81"/>
      <c r="O118" s="133"/>
      <c r="P118" s="133"/>
      <c r="Q118" s="133"/>
      <c r="R118" s="133"/>
      <c r="S118" s="133"/>
      <c r="T118" s="133"/>
      <c r="U118" s="133" t="s">
        <v>468</v>
      </c>
      <c r="V118" s="133"/>
      <c r="W118" s="133"/>
      <c r="X118" s="133">
        <v>1</v>
      </c>
      <c r="Y118" s="145" t="s">
        <v>281</v>
      </c>
    </row>
    <row r="119" spans="1:25" x14ac:dyDescent="0.3">
      <c r="A119" s="89" t="s">
        <v>237</v>
      </c>
      <c r="B119" s="146" t="s">
        <v>284</v>
      </c>
      <c r="C119" s="133" t="s">
        <v>452</v>
      </c>
      <c r="D119" s="133" t="s">
        <v>452</v>
      </c>
      <c r="E119" s="133"/>
      <c r="F119" s="133"/>
      <c r="G119" s="154">
        <v>29.687114999999999</v>
      </c>
      <c r="H119" s="133"/>
      <c r="I119" s="133"/>
      <c r="J119" s="128"/>
      <c r="K119" s="80"/>
      <c r="L119" s="81"/>
      <c r="M119" s="80"/>
      <c r="N119" s="81"/>
      <c r="O119" s="133"/>
      <c r="P119" s="133"/>
      <c r="Q119" s="133"/>
      <c r="R119" s="133"/>
      <c r="S119" s="133"/>
      <c r="T119" s="133"/>
      <c r="U119" s="133" t="s">
        <v>468</v>
      </c>
      <c r="V119" s="133"/>
      <c r="W119" s="133"/>
      <c r="X119" s="133">
        <v>1</v>
      </c>
      <c r="Y119" s="145" t="s">
        <v>283</v>
      </c>
    </row>
    <row r="120" spans="1:25" x14ac:dyDescent="0.3">
      <c r="A120" s="89" t="s">
        <v>237</v>
      </c>
      <c r="B120" s="146" t="s">
        <v>286</v>
      </c>
      <c r="C120" s="133" t="s">
        <v>452</v>
      </c>
      <c r="D120" s="133" t="s">
        <v>452</v>
      </c>
      <c r="E120" s="133"/>
      <c r="F120" s="133"/>
      <c r="G120" s="154">
        <v>28.736982000000001</v>
      </c>
      <c r="H120" s="133"/>
      <c r="I120" s="133"/>
      <c r="J120" s="128"/>
      <c r="K120" s="80"/>
      <c r="L120" s="81"/>
      <c r="M120" s="80"/>
      <c r="N120" s="81"/>
      <c r="O120" s="133"/>
      <c r="P120" s="133"/>
      <c r="Q120" s="133"/>
      <c r="R120" s="133"/>
      <c r="S120" s="133"/>
      <c r="T120" s="133"/>
      <c r="U120" s="133" t="s">
        <v>468</v>
      </c>
      <c r="V120" s="133"/>
      <c r="W120" s="133"/>
      <c r="X120" s="133">
        <v>1</v>
      </c>
      <c r="Y120" s="145" t="s">
        <v>285</v>
      </c>
    </row>
    <row r="121" spans="1:25" x14ac:dyDescent="0.3">
      <c r="A121" s="89" t="s">
        <v>237</v>
      </c>
      <c r="B121" s="146" t="s">
        <v>288</v>
      </c>
      <c r="C121" s="133" t="s">
        <v>452</v>
      </c>
      <c r="D121" s="133" t="s">
        <v>452</v>
      </c>
      <c r="E121" s="133"/>
      <c r="F121" s="133"/>
      <c r="G121" s="154">
        <v>28.492152999999998</v>
      </c>
      <c r="H121" s="133"/>
      <c r="I121" s="133"/>
      <c r="J121" s="128"/>
      <c r="K121" s="80"/>
      <c r="L121" s="81"/>
      <c r="M121" s="80"/>
      <c r="N121" s="81"/>
      <c r="O121" s="133"/>
      <c r="P121" s="133"/>
      <c r="Q121" s="133"/>
      <c r="R121" s="133"/>
      <c r="S121" s="133"/>
      <c r="T121" s="133"/>
      <c r="U121" s="133" t="s">
        <v>468</v>
      </c>
      <c r="V121" s="133"/>
      <c r="W121" s="133"/>
      <c r="X121" s="133">
        <v>1</v>
      </c>
      <c r="Y121" s="145" t="s">
        <v>287</v>
      </c>
    </row>
    <row r="122" spans="1:25" x14ac:dyDescent="0.3">
      <c r="A122" s="89" t="s">
        <v>237</v>
      </c>
      <c r="B122" s="146" t="s">
        <v>290</v>
      </c>
      <c r="C122" s="133" t="s">
        <v>452</v>
      </c>
      <c r="D122" s="133" t="s">
        <v>452</v>
      </c>
      <c r="E122" s="133"/>
      <c r="F122" s="133"/>
      <c r="G122" s="154">
        <v>28.410404</v>
      </c>
      <c r="H122" s="133"/>
      <c r="I122" s="133"/>
      <c r="J122" s="128"/>
      <c r="K122" s="80"/>
      <c r="L122" s="81"/>
      <c r="M122" s="80"/>
      <c r="N122" s="81"/>
      <c r="O122" s="133"/>
      <c r="P122" s="133"/>
      <c r="Q122" s="133"/>
      <c r="R122" s="133"/>
      <c r="S122" s="133"/>
      <c r="T122" s="133"/>
      <c r="U122" s="133" t="s">
        <v>468</v>
      </c>
      <c r="V122" s="133"/>
      <c r="W122" s="133"/>
      <c r="X122" s="133">
        <v>1</v>
      </c>
      <c r="Y122" s="145" t="s">
        <v>289</v>
      </c>
    </row>
    <row r="123" spans="1:25" x14ac:dyDescent="0.3">
      <c r="A123" s="89" t="s">
        <v>237</v>
      </c>
      <c r="B123" s="146" t="s">
        <v>292</v>
      </c>
      <c r="C123" s="133" t="s">
        <v>452</v>
      </c>
      <c r="D123" s="133" t="s">
        <v>452</v>
      </c>
      <c r="E123" s="133"/>
      <c r="F123" s="133"/>
      <c r="G123" s="154">
        <v>28.136555000000001</v>
      </c>
      <c r="H123" s="133"/>
      <c r="I123" s="133"/>
      <c r="J123" s="128"/>
      <c r="K123" s="80"/>
      <c r="L123" s="81"/>
      <c r="M123" s="80"/>
      <c r="N123" s="81"/>
      <c r="O123" s="133"/>
      <c r="P123" s="133"/>
      <c r="Q123" s="133"/>
      <c r="R123" s="133"/>
      <c r="S123" s="133"/>
      <c r="T123" s="133"/>
      <c r="U123" s="133" t="s">
        <v>468</v>
      </c>
      <c r="V123" s="133"/>
      <c r="W123" s="133"/>
      <c r="X123" s="133">
        <v>1</v>
      </c>
      <c r="Y123" s="145" t="s">
        <v>291</v>
      </c>
    </row>
    <row r="124" spans="1:25" x14ac:dyDescent="0.3">
      <c r="A124" s="89" t="s">
        <v>237</v>
      </c>
      <c r="B124" s="146" t="s">
        <v>294</v>
      </c>
      <c r="C124" s="133" t="s">
        <v>452</v>
      </c>
      <c r="D124" s="133" t="s">
        <v>452</v>
      </c>
      <c r="E124" s="133"/>
      <c r="F124" s="133"/>
      <c r="G124" s="154">
        <v>27.965734000000001</v>
      </c>
      <c r="H124" s="133"/>
      <c r="I124" s="133"/>
      <c r="J124" s="128"/>
      <c r="K124" s="80"/>
      <c r="L124" s="81"/>
      <c r="M124" s="80"/>
      <c r="N124" s="81"/>
      <c r="O124" s="133"/>
      <c r="P124" s="133"/>
      <c r="Q124" s="133"/>
      <c r="R124" s="133"/>
      <c r="S124" s="133"/>
      <c r="T124" s="133"/>
      <c r="U124" s="133" t="s">
        <v>468</v>
      </c>
      <c r="V124" s="133"/>
      <c r="W124" s="133"/>
      <c r="X124" s="133">
        <v>1</v>
      </c>
      <c r="Y124" s="145" t="s">
        <v>293</v>
      </c>
    </row>
    <row r="125" spans="1:25" x14ac:dyDescent="0.3">
      <c r="A125" s="89" t="s">
        <v>237</v>
      </c>
      <c r="B125" s="146" t="s">
        <v>296</v>
      </c>
      <c r="C125" s="133" t="s">
        <v>452</v>
      </c>
      <c r="D125" s="133" t="s">
        <v>452</v>
      </c>
      <c r="E125" s="133"/>
      <c r="F125" s="133"/>
      <c r="G125" s="154">
        <v>27.951947000000001</v>
      </c>
      <c r="H125" s="133"/>
      <c r="I125" s="133"/>
      <c r="J125" s="128"/>
      <c r="K125" s="80"/>
      <c r="L125" s="81"/>
      <c r="M125" s="80"/>
      <c r="N125" s="81"/>
      <c r="O125" s="133"/>
      <c r="P125" s="133"/>
      <c r="Q125" s="133"/>
      <c r="R125" s="133"/>
      <c r="S125" s="133"/>
      <c r="T125" s="133"/>
      <c r="U125" s="133" t="s">
        <v>468</v>
      </c>
      <c r="V125" s="133"/>
      <c r="W125" s="133"/>
      <c r="X125" s="133">
        <v>1</v>
      </c>
      <c r="Y125" s="145" t="s">
        <v>295</v>
      </c>
    </row>
    <row r="126" spans="1:25" x14ac:dyDescent="0.3">
      <c r="A126" s="89" t="s">
        <v>237</v>
      </c>
      <c r="B126" s="146" t="s">
        <v>298</v>
      </c>
      <c r="C126" s="133" t="s">
        <v>452</v>
      </c>
      <c r="D126" s="133" t="s">
        <v>452</v>
      </c>
      <c r="E126" s="133"/>
      <c r="F126" s="133"/>
      <c r="G126" s="154">
        <v>27.572123000000001</v>
      </c>
      <c r="H126" s="133"/>
      <c r="I126" s="133"/>
      <c r="J126" s="128"/>
      <c r="K126" s="80"/>
      <c r="L126" s="81"/>
      <c r="M126" s="80"/>
      <c r="N126" s="81"/>
      <c r="O126" s="133"/>
      <c r="P126" s="133"/>
      <c r="Q126" s="133"/>
      <c r="R126" s="133"/>
      <c r="S126" s="133"/>
      <c r="T126" s="133"/>
      <c r="U126" s="133" t="s">
        <v>468</v>
      </c>
      <c r="V126" s="133"/>
      <c r="W126" s="133"/>
      <c r="X126" s="133">
        <v>1</v>
      </c>
      <c r="Y126" s="145" t="s">
        <v>297</v>
      </c>
    </row>
    <row r="127" spans="1:25" x14ac:dyDescent="0.3">
      <c r="A127" s="89" t="s">
        <v>237</v>
      </c>
      <c r="B127" s="146" t="s">
        <v>300</v>
      </c>
      <c r="C127" s="133" t="s">
        <v>452</v>
      </c>
      <c r="D127" s="133" t="s">
        <v>452</v>
      </c>
      <c r="E127" s="133"/>
      <c r="F127" s="133"/>
      <c r="G127" s="154">
        <v>27.262125000000001</v>
      </c>
      <c r="H127" s="133"/>
      <c r="I127" s="133"/>
      <c r="J127" s="128"/>
      <c r="K127" s="80"/>
      <c r="L127" s="81"/>
      <c r="M127" s="80"/>
      <c r="N127" s="81"/>
      <c r="O127" s="133"/>
      <c r="P127" s="133"/>
      <c r="Q127" s="133"/>
      <c r="R127" s="133"/>
      <c r="S127" s="133"/>
      <c r="T127" s="133"/>
      <c r="U127" s="133" t="s">
        <v>468</v>
      </c>
      <c r="V127" s="133"/>
      <c r="W127" s="133"/>
      <c r="X127" s="133">
        <v>1</v>
      </c>
      <c r="Y127" s="145" t="s">
        <v>299</v>
      </c>
    </row>
    <row r="128" spans="1:25" x14ac:dyDescent="0.3">
      <c r="A128" s="89" t="s">
        <v>237</v>
      </c>
      <c r="B128" s="146" t="s">
        <v>302</v>
      </c>
      <c r="C128" s="133" t="s">
        <v>452</v>
      </c>
      <c r="D128" s="133" t="s">
        <v>452</v>
      </c>
      <c r="E128" s="133"/>
      <c r="F128" s="133"/>
      <c r="G128" s="154">
        <v>27.230899999999998</v>
      </c>
      <c r="H128" s="133"/>
      <c r="I128" s="133"/>
      <c r="J128" s="128"/>
      <c r="K128" s="80"/>
      <c r="L128" s="81"/>
      <c r="M128" s="80"/>
      <c r="N128" s="81"/>
      <c r="O128" s="133"/>
      <c r="P128" s="133"/>
      <c r="Q128" s="133"/>
      <c r="R128" s="133"/>
      <c r="S128" s="133"/>
      <c r="T128" s="133"/>
      <c r="U128" s="133" t="s">
        <v>468</v>
      </c>
      <c r="V128" s="133"/>
      <c r="W128" s="133"/>
      <c r="X128" s="133">
        <v>1</v>
      </c>
      <c r="Y128" s="145" t="s">
        <v>301</v>
      </c>
    </row>
    <row r="129" spans="1:25" x14ac:dyDescent="0.3">
      <c r="A129" s="89" t="s">
        <v>237</v>
      </c>
      <c r="B129" s="146" t="s">
        <v>304</v>
      </c>
      <c r="C129" s="133" t="s">
        <v>452</v>
      </c>
      <c r="D129" s="133" t="s">
        <v>452</v>
      </c>
      <c r="E129" s="133"/>
      <c r="F129" s="133"/>
      <c r="G129" s="154">
        <v>25.350594000000001</v>
      </c>
      <c r="H129" s="133"/>
      <c r="I129" s="133"/>
      <c r="J129" s="128"/>
      <c r="K129" s="80"/>
      <c r="L129" s="81"/>
      <c r="M129" s="80"/>
      <c r="N129" s="81"/>
      <c r="O129" s="133"/>
      <c r="P129" s="133"/>
      <c r="Q129" s="133"/>
      <c r="R129" s="133"/>
      <c r="S129" s="133"/>
      <c r="T129" s="133"/>
      <c r="U129" s="133" t="s">
        <v>468</v>
      </c>
      <c r="V129" s="133"/>
      <c r="W129" s="133"/>
      <c r="X129" s="133">
        <v>1</v>
      </c>
      <c r="Y129" s="145" t="s">
        <v>303</v>
      </c>
    </row>
    <row r="130" spans="1:25" x14ac:dyDescent="0.3">
      <c r="A130" s="89" t="s">
        <v>237</v>
      </c>
      <c r="B130" s="146" t="s">
        <v>306</v>
      </c>
      <c r="C130" s="133" t="s">
        <v>452</v>
      </c>
      <c r="D130" s="133" t="s">
        <v>452</v>
      </c>
      <c r="E130" s="133"/>
      <c r="F130" s="133"/>
      <c r="G130" s="154">
        <v>25.321103000000001</v>
      </c>
      <c r="H130" s="133"/>
      <c r="I130" s="133"/>
      <c r="J130" s="128"/>
      <c r="K130" s="80"/>
      <c r="L130" s="81"/>
      <c r="M130" s="80"/>
      <c r="N130" s="81"/>
      <c r="O130" s="133"/>
      <c r="P130" s="133"/>
      <c r="Q130" s="133"/>
      <c r="R130" s="133"/>
      <c r="S130" s="133"/>
      <c r="T130" s="133"/>
      <c r="U130" s="133" t="s">
        <v>468</v>
      </c>
      <c r="V130" s="133"/>
      <c r="W130" s="133"/>
      <c r="X130" s="133">
        <v>1</v>
      </c>
      <c r="Y130" s="145" t="s">
        <v>305</v>
      </c>
    </row>
    <row r="131" spans="1:25" x14ac:dyDescent="0.3">
      <c r="A131" s="89" t="s">
        <v>237</v>
      </c>
      <c r="B131" s="146" t="s">
        <v>308</v>
      </c>
      <c r="C131" s="133" t="s">
        <v>452</v>
      </c>
      <c r="D131" s="133" t="s">
        <v>452</v>
      </c>
      <c r="E131" s="133"/>
      <c r="F131" s="133"/>
      <c r="G131" s="154">
        <v>25.100411999999999</v>
      </c>
      <c r="H131" s="133"/>
      <c r="I131" s="133"/>
      <c r="J131" s="128"/>
      <c r="K131" s="80"/>
      <c r="L131" s="81"/>
      <c r="M131" s="80"/>
      <c r="N131" s="81"/>
      <c r="O131" s="133"/>
      <c r="P131" s="133"/>
      <c r="Q131" s="133"/>
      <c r="R131" s="133"/>
      <c r="S131" s="133"/>
      <c r="T131" s="133"/>
      <c r="U131" s="133" t="s">
        <v>468</v>
      </c>
      <c r="V131" s="133"/>
      <c r="W131" s="133"/>
      <c r="X131" s="133">
        <v>1</v>
      </c>
      <c r="Y131" s="145" t="s">
        <v>307</v>
      </c>
    </row>
    <row r="132" spans="1:25" x14ac:dyDescent="0.3">
      <c r="A132" s="89" t="s">
        <v>237</v>
      </c>
      <c r="B132" s="146" t="s">
        <v>310</v>
      </c>
      <c r="C132" s="133" t="s">
        <v>452</v>
      </c>
      <c r="D132" s="133" t="s">
        <v>452</v>
      </c>
      <c r="E132" s="133"/>
      <c r="F132" s="133"/>
      <c r="G132" s="154">
        <v>24.65099</v>
      </c>
      <c r="H132" s="133"/>
      <c r="I132" s="133"/>
      <c r="J132" s="128"/>
      <c r="K132" s="80"/>
      <c r="L132" s="81"/>
      <c r="M132" s="80"/>
      <c r="N132" s="81"/>
      <c r="O132" s="133"/>
      <c r="P132" s="133"/>
      <c r="Q132" s="133"/>
      <c r="R132" s="133"/>
      <c r="S132" s="133"/>
      <c r="T132" s="133"/>
      <c r="U132" s="133" t="s">
        <v>468</v>
      </c>
      <c r="V132" s="133"/>
      <c r="W132" s="133"/>
      <c r="X132" s="133">
        <v>1</v>
      </c>
      <c r="Y132" s="145" t="s">
        <v>309</v>
      </c>
    </row>
    <row r="133" spans="1:25" x14ac:dyDescent="0.3">
      <c r="A133" s="89" t="s">
        <v>237</v>
      </c>
      <c r="B133" s="146" t="s">
        <v>312</v>
      </c>
      <c r="C133" s="133" t="s">
        <v>452</v>
      </c>
      <c r="D133" s="133" t="s">
        <v>452</v>
      </c>
      <c r="E133" s="133"/>
      <c r="F133" s="133"/>
      <c r="G133" s="154">
        <v>23.710519000000001</v>
      </c>
      <c r="H133" s="133"/>
      <c r="I133" s="133"/>
      <c r="J133" s="128"/>
      <c r="K133" s="80"/>
      <c r="L133" s="81"/>
      <c r="M133" s="80"/>
      <c r="N133" s="81"/>
      <c r="O133" s="133"/>
      <c r="P133" s="133"/>
      <c r="Q133" s="133"/>
      <c r="R133" s="133"/>
      <c r="S133" s="133"/>
      <c r="T133" s="133"/>
      <c r="U133" s="133" t="s">
        <v>468</v>
      </c>
      <c r="V133" s="133"/>
      <c r="W133" s="133"/>
      <c r="X133" s="133">
        <v>1</v>
      </c>
      <c r="Y133" s="145" t="s">
        <v>311</v>
      </c>
    </row>
    <row r="134" spans="1:25" x14ac:dyDescent="0.3">
      <c r="A134" s="89" t="s">
        <v>237</v>
      </c>
      <c r="B134" s="146" t="s">
        <v>314</v>
      </c>
      <c r="C134" s="133" t="s">
        <v>452</v>
      </c>
      <c r="D134" s="133" t="s">
        <v>452</v>
      </c>
      <c r="E134" s="133"/>
      <c r="F134" s="133"/>
      <c r="G134" s="154">
        <v>23.353418999999999</v>
      </c>
      <c r="H134" s="133"/>
      <c r="I134" s="133"/>
      <c r="J134" s="128"/>
      <c r="K134" s="80"/>
      <c r="L134" s="81"/>
      <c r="M134" s="80"/>
      <c r="N134" s="81"/>
      <c r="O134" s="133"/>
      <c r="P134" s="133"/>
      <c r="Q134" s="133"/>
      <c r="R134" s="133"/>
      <c r="S134" s="133"/>
      <c r="T134" s="133"/>
      <c r="U134" s="133" t="s">
        <v>468</v>
      </c>
      <c r="V134" s="133"/>
      <c r="W134" s="133"/>
      <c r="X134" s="133">
        <v>1</v>
      </c>
      <c r="Y134" s="145" t="s">
        <v>313</v>
      </c>
    </row>
    <row r="135" spans="1:25" x14ac:dyDescent="0.3">
      <c r="A135" s="89" t="s">
        <v>237</v>
      </c>
      <c r="B135" s="146" t="s">
        <v>316</v>
      </c>
      <c r="C135" s="133" t="s">
        <v>452</v>
      </c>
      <c r="D135" s="133" t="s">
        <v>452</v>
      </c>
      <c r="E135" s="133"/>
      <c r="F135" s="133"/>
      <c r="G135" s="154">
        <v>22.989583</v>
      </c>
      <c r="H135" s="133"/>
      <c r="I135" s="133"/>
      <c r="J135" s="128"/>
      <c r="K135" s="80"/>
      <c r="L135" s="81"/>
      <c r="M135" s="80"/>
      <c r="N135" s="81"/>
      <c r="O135" s="133"/>
      <c r="P135" s="133"/>
      <c r="Q135" s="133"/>
      <c r="R135" s="133"/>
      <c r="S135" s="133"/>
      <c r="T135" s="133"/>
      <c r="U135" s="133" t="s">
        <v>468</v>
      </c>
      <c r="V135" s="133"/>
      <c r="W135" s="133"/>
      <c r="X135" s="133">
        <v>1</v>
      </c>
      <c r="Y135" s="145" t="s">
        <v>315</v>
      </c>
    </row>
    <row r="136" spans="1:25" x14ac:dyDescent="0.3">
      <c r="A136" s="89" t="s">
        <v>237</v>
      </c>
      <c r="B136" s="146" t="s">
        <v>318</v>
      </c>
      <c r="C136" s="133" t="s">
        <v>452</v>
      </c>
      <c r="D136" s="133" t="s">
        <v>452</v>
      </c>
      <c r="E136" s="133"/>
      <c r="F136" s="133"/>
      <c r="G136" s="154">
        <v>22.881340999999999</v>
      </c>
      <c r="H136" s="133"/>
      <c r="I136" s="133"/>
      <c r="J136" s="128"/>
      <c r="K136" s="80"/>
      <c r="L136" s="81"/>
      <c r="M136" s="80"/>
      <c r="N136" s="81"/>
      <c r="O136" s="133"/>
      <c r="P136" s="133"/>
      <c r="Q136" s="133"/>
      <c r="R136" s="133"/>
      <c r="S136" s="133"/>
      <c r="T136" s="133"/>
      <c r="U136" s="133" t="s">
        <v>468</v>
      </c>
      <c r="V136" s="133"/>
      <c r="W136" s="133"/>
      <c r="X136" s="133">
        <v>1</v>
      </c>
      <c r="Y136" s="145" t="s">
        <v>317</v>
      </c>
    </row>
    <row r="137" spans="1:25" x14ac:dyDescent="0.3">
      <c r="A137" s="89" t="s">
        <v>237</v>
      </c>
      <c r="B137" s="146" t="s">
        <v>320</v>
      </c>
      <c r="C137" s="133" t="s">
        <v>454</v>
      </c>
      <c r="D137" s="133" t="s">
        <v>454</v>
      </c>
      <c r="E137" s="133"/>
      <c r="F137" s="133"/>
      <c r="G137" s="154">
        <v>22.282532</v>
      </c>
      <c r="H137" s="133"/>
      <c r="I137" s="133"/>
      <c r="J137" s="128"/>
      <c r="K137" s="80"/>
      <c r="L137" s="81"/>
      <c r="M137" s="80"/>
      <c r="N137" s="81"/>
      <c r="O137" s="133"/>
      <c r="P137" s="133"/>
      <c r="Q137" s="133"/>
      <c r="R137" s="133"/>
      <c r="S137" s="133"/>
      <c r="T137" s="133"/>
      <c r="U137" s="133" t="s">
        <v>468</v>
      </c>
      <c r="V137" s="133"/>
      <c r="W137" s="133"/>
      <c r="X137" s="133">
        <v>1</v>
      </c>
      <c r="Y137" s="145" t="s">
        <v>319</v>
      </c>
    </row>
    <row r="138" spans="1:25" x14ac:dyDescent="0.3">
      <c r="A138" s="89" t="s">
        <v>237</v>
      </c>
      <c r="B138" s="146" t="s">
        <v>322</v>
      </c>
      <c r="C138" s="133" t="s">
        <v>452</v>
      </c>
      <c r="D138" s="133" t="s">
        <v>452</v>
      </c>
      <c r="E138" s="133"/>
      <c r="F138" s="133"/>
      <c r="G138" s="154">
        <v>21.150221999999999</v>
      </c>
      <c r="H138" s="133"/>
      <c r="I138" s="133"/>
      <c r="J138" s="128"/>
      <c r="K138" s="80"/>
      <c r="L138" s="81"/>
      <c r="M138" s="80"/>
      <c r="N138" s="81"/>
      <c r="O138" s="133"/>
      <c r="P138" s="133"/>
      <c r="Q138" s="133"/>
      <c r="R138" s="133"/>
      <c r="S138" s="133"/>
      <c r="T138" s="133"/>
      <c r="U138" s="133" t="s">
        <v>468</v>
      </c>
      <c r="V138" s="133"/>
      <c r="W138" s="133"/>
      <c r="X138" s="133">
        <v>1</v>
      </c>
      <c r="Y138" s="145" t="s">
        <v>321</v>
      </c>
    </row>
    <row r="139" spans="1:25" x14ac:dyDescent="0.3">
      <c r="A139" s="89" t="s">
        <v>237</v>
      </c>
      <c r="B139" s="146" t="s">
        <v>324</v>
      </c>
      <c r="C139" s="133" t="s">
        <v>452</v>
      </c>
      <c r="D139" s="133" t="s">
        <v>452</v>
      </c>
      <c r="E139" s="133"/>
      <c r="F139" s="133"/>
      <c r="G139" s="154">
        <v>21.032912</v>
      </c>
      <c r="H139" s="133"/>
      <c r="I139" s="133"/>
      <c r="J139" s="128"/>
      <c r="K139" s="80"/>
      <c r="L139" s="81"/>
      <c r="M139" s="80"/>
      <c r="N139" s="81"/>
      <c r="O139" s="133"/>
      <c r="P139" s="133"/>
      <c r="Q139" s="133"/>
      <c r="R139" s="133"/>
      <c r="S139" s="133"/>
      <c r="T139" s="133"/>
      <c r="U139" s="133" t="s">
        <v>468</v>
      </c>
      <c r="V139" s="133"/>
      <c r="W139" s="133"/>
      <c r="X139" s="133">
        <v>1</v>
      </c>
      <c r="Y139" s="145" t="s">
        <v>323</v>
      </c>
    </row>
    <row r="140" spans="1:25" x14ac:dyDescent="0.3">
      <c r="A140" s="89" t="s">
        <v>237</v>
      </c>
      <c r="B140" s="146" t="s">
        <v>326</v>
      </c>
      <c r="C140" s="133" t="s">
        <v>452</v>
      </c>
      <c r="D140" s="133" t="s">
        <v>452</v>
      </c>
      <c r="E140" s="133"/>
      <c r="F140" s="133"/>
      <c r="G140" s="154">
        <v>20.817625</v>
      </c>
      <c r="H140" s="133"/>
      <c r="I140" s="133"/>
      <c r="J140" s="128"/>
      <c r="K140" s="80"/>
      <c r="L140" s="81"/>
      <c r="M140" s="80"/>
      <c r="N140" s="81"/>
      <c r="O140" s="133"/>
      <c r="P140" s="133"/>
      <c r="Q140" s="133"/>
      <c r="R140" s="133"/>
      <c r="S140" s="133"/>
      <c r="T140" s="133"/>
      <c r="U140" s="133" t="s">
        <v>468</v>
      </c>
      <c r="V140" s="133"/>
      <c r="W140" s="133"/>
      <c r="X140" s="133">
        <v>1</v>
      </c>
      <c r="Y140" s="145" t="s">
        <v>325</v>
      </c>
    </row>
    <row r="141" spans="1:25" x14ac:dyDescent="0.3">
      <c r="A141" s="89" t="s">
        <v>237</v>
      </c>
      <c r="B141" s="146" t="s">
        <v>328</v>
      </c>
      <c r="C141" s="133" t="s">
        <v>452</v>
      </c>
      <c r="D141" s="133" t="s">
        <v>452</v>
      </c>
      <c r="E141" s="133"/>
      <c r="F141" s="133"/>
      <c r="G141" s="154">
        <v>18.718008000000001</v>
      </c>
      <c r="H141" s="133"/>
      <c r="I141" s="133"/>
      <c r="J141" s="128"/>
      <c r="K141" s="80"/>
      <c r="L141" s="81"/>
      <c r="M141" s="80"/>
      <c r="N141" s="81"/>
      <c r="O141" s="133"/>
      <c r="P141" s="133"/>
      <c r="Q141" s="133"/>
      <c r="R141" s="133"/>
      <c r="S141" s="133"/>
      <c r="T141" s="133"/>
      <c r="U141" s="133" t="s">
        <v>468</v>
      </c>
      <c r="V141" s="133"/>
      <c r="W141" s="133"/>
      <c r="X141" s="133">
        <v>1</v>
      </c>
      <c r="Y141" s="145" t="s">
        <v>327</v>
      </c>
    </row>
    <row r="142" spans="1:25" x14ac:dyDescent="0.3">
      <c r="A142" s="89" t="s">
        <v>237</v>
      </c>
      <c r="B142" s="146" t="s">
        <v>330</v>
      </c>
      <c r="C142" s="133" t="s">
        <v>452</v>
      </c>
      <c r="D142" s="133" t="s">
        <v>452</v>
      </c>
      <c r="E142" s="133"/>
      <c r="F142" s="133"/>
      <c r="G142" s="154">
        <v>18.684974</v>
      </c>
      <c r="H142" s="133"/>
      <c r="I142" s="133"/>
      <c r="J142" s="128"/>
      <c r="K142" s="80"/>
      <c r="L142" s="81"/>
      <c r="M142" s="80"/>
      <c r="N142" s="81"/>
      <c r="O142" s="133"/>
      <c r="P142" s="133"/>
      <c r="Q142" s="133"/>
      <c r="R142" s="133"/>
      <c r="S142" s="133"/>
      <c r="T142" s="133"/>
      <c r="U142" s="133" t="s">
        <v>468</v>
      </c>
      <c r="V142" s="133"/>
      <c r="W142" s="133"/>
      <c r="X142" s="133">
        <v>1</v>
      </c>
      <c r="Y142" s="145" t="s">
        <v>329</v>
      </c>
    </row>
    <row r="143" spans="1:25" x14ac:dyDescent="0.3">
      <c r="A143" s="89" t="s">
        <v>237</v>
      </c>
      <c r="B143" s="146" t="s">
        <v>332</v>
      </c>
      <c r="C143" s="133" t="s">
        <v>452</v>
      </c>
      <c r="D143" s="133" t="s">
        <v>452</v>
      </c>
      <c r="E143" s="133"/>
      <c r="F143" s="133"/>
      <c r="G143" s="154">
        <v>17.425543000000001</v>
      </c>
      <c r="H143" s="133"/>
      <c r="I143" s="133"/>
      <c r="J143" s="128"/>
      <c r="K143" s="80"/>
      <c r="L143" s="81"/>
      <c r="M143" s="80"/>
      <c r="N143" s="81"/>
      <c r="O143" s="133"/>
      <c r="P143" s="133"/>
      <c r="Q143" s="133"/>
      <c r="R143" s="133"/>
      <c r="S143" s="133"/>
      <c r="T143" s="133"/>
      <c r="U143" s="133" t="s">
        <v>468</v>
      </c>
      <c r="V143" s="133"/>
      <c r="W143" s="133"/>
      <c r="X143" s="133">
        <v>1</v>
      </c>
      <c r="Y143" s="145" t="s">
        <v>331</v>
      </c>
    </row>
    <row r="144" spans="1:25" x14ac:dyDescent="0.3">
      <c r="A144" s="89" t="s">
        <v>237</v>
      </c>
      <c r="B144" s="146" t="s">
        <v>334</v>
      </c>
      <c r="C144" s="133" t="s">
        <v>452</v>
      </c>
      <c r="D144" s="133" t="s">
        <v>452</v>
      </c>
      <c r="E144" s="133"/>
      <c r="F144" s="133"/>
      <c r="G144" s="154">
        <v>16.496466999999999</v>
      </c>
      <c r="H144" s="133"/>
      <c r="I144" s="133"/>
      <c r="J144" s="128"/>
      <c r="K144" s="80"/>
      <c r="L144" s="81"/>
      <c r="M144" s="80"/>
      <c r="N144" s="81"/>
      <c r="O144" s="133"/>
      <c r="P144" s="133"/>
      <c r="Q144" s="133"/>
      <c r="R144" s="133"/>
      <c r="S144" s="133"/>
      <c r="T144" s="133"/>
      <c r="U144" s="133" t="s">
        <v>468</v>
      </c>
      <c r="V144" s="133"/>
      <c r="W144" s="133"/>
      <c r="X144" s="133">
        <v>1</v>
      </c>
      <c r="Y144" s="145" t="s">
        <v>333</v>
      </c>
    </row>
    <row r="145" spans="1:25" x14ac:dyDescent="0.3">
      <c r="A145" s="89" t="s">
        <v>237</v>
      </c>
      <c r="B145" s="146" t="s">
        <v>336</v>
      </c>
      <c r="C145" s="133" t="s">
        <v>452</v>
      </c>
      <c r="D145" s="133" t="s">
        <v>452</v>
      </c>
      <c r="E145" s="133"/>
      <c r="F145" s="133"/>
      <c r="G145" s="154">
        <v>13.27445</v>
      </c>
      <c r="H145" s="133"/>
      <c r="I145" s="133"/>
      <c r="J145" s="128"/>
      <c r="K145" s="80"/>
      <c r="L145" s="81"/>
      <c r="M145" s="80"/>
      <c r="N145" s="81"/>
      <c r="O145" s="133"/>
      <c r="P145" s="133"/>
      <c r="Q145" s="133"/>
      <c r="R145" s="133"/>
      <c r="S145" s="133"/>
      <c r="T145" s="133"/>
      <c r="U145" s="133" t="s">
        <v>468</v>
      </c>
      <c r="V145" s="133"/>
      <c r="W145" s="133"/>
      <c r="X145" s="133">
        <v>1</v>
      </c>
      <c r="Y145" s="145" t="s">
        <v>335</v>
      </c>
    </row>
    <row r="146" spans="1:25" x14ac:dyDescent="0.3">
      <c r="A146" s="89" t="s">
        <v>237</v>
      </c>
      <c r="B146" s="146" t="s">
        <v>338</v>
      </c>
      <c r="C146" s="133" t="s">
        <v>452</v>
      </c>
      <c r="D146" s="133" t="s">
        <v>452</v>
      </c>
      <c r="E146" s="133"/>
      <c r="F146" s="133"/>
      <c r="G146" s="154">
        <v>12.840707999999999</v>
      </c>
      <c r="H146" s="133"/>
      <c r="I146" s="133"/>
      <c r="J146" s="128"/>
      <c r="K146" s="80"/>
      <c r="L146" s="81"/>
      <c r="M146" s="80"/>
      <c r="N146" s="81"/>
      <c r="O146" s="133"/>
      <c r="P146" s="133"/>
      <c r="Q146" s="133"/>
      <c r="R146" s="133"/>
      <c r="S146" s="133"/>
      <c r="T146" s="133"/>
      <c r="U146" s="133" t="s">
        <v>468</v>
      </c>
      <c r="V146" s="133"/>
      <c r="W146" s="133"/>
      <c r="X146" s="133">
        <v>2</v>
      </c>
      <c r="Y146" s="145" t="s">
        <v>337</v>
      </c>
    </row>
    <row r="147" spans="1:25" x14ac:dyDescent="0.3">
      <c r="A147" s="89" t="s">
        <v>237</v>
      </c>
      <c r="B147" s="146" t="s">
        <v>340</v>
      </c>
      <c r="C147" s="133" t="s">
        <v>452</v>
      </c>
      <c r="D147" s="133" t="s">
        <v>452</v>
      </c>
      <c r="E147" s="133"/>
      <c r="F147" s="133"/>
      <c r="G147" s="154">
        <v>12.554436000000001</v>
      </c>
      <c r="H147" s="133"/>
      <c r="I147" s="133"/>
      <c r="J147" s="128"/>
      <c r="K147" s="80"/>
      <c r="L147" s="81"/>
      <c r="M147" s="80"/>
      <c r="N147" s="81"/>
      <c r="O147" s="133"/>
      <c r="P147" s="133"/>
      <c r="Q147" s="133"/>
      <c r="R147" s="133"/>
      <c r="S147" s="133"/>
      <c r="T147" s="133"/>
      <c r="U147" s="133" t="s">
        <v>468</v>
      </c>
      <c r="V147" s="133"/>
      <c r="W147" s="133"/>
      <c r="X147" s="133">
        <v>3</v>
      </c>
      <c r="Y147" s="145" t="s">
        <v>339</v>
      </c>
    </row>
    <row r="148" spans="1:25" x14ac:dyDescent="0.3">
      <c r="A148" s="89" t="s">
        <v>237</v>
      </c>
      <c r="B148" s="146" t="s">
        <v>342</v>
      </c>
      <c r="C148" s="133" t="s">
        <v>452</v>
      </c>
      <c r="D148" s="133" t="s">
        <v>452</v>
      </c>
      <c r="E148" s="133"/>
      <c r="F148" s="133"/>
      <c r="G148" s="154">
        <v>12.507841000000001</v>
      </c>
      <c r="H148" s="133"/>
      <c r="I148" s="133"/>
      <c r="J148" s="128"/>
      <c r="K148" s="80"/>
      <c r="L148" s="81"/>
      <c r="M148" s="80"/>
      <c r="N148" s="81"/>
      <c r="O148" s="133"/>
      <c r="P148" s="133"/>
      <c r="Q148" s="133"/>
      <c r="R148" s="133"/>
      <c r="S148" s="133"/>
      <c r="T148" s="133"/>
      <c r="U148" s="133" t="s">
        <v>468</v>
      </c>
      <c r="V148" s="133"/>
      <c r="W148" s="133"/>
      <c r="X148" s="133">
        <v>4</v>
      </c>
      <c r="Y148" s="145" t="s">
        <v>341</v>
      </c>
    </row>
    <row r="149" spans="1:25" x14ac:dyDescent="0.3">
      <c r="A149" s="89" t="s">
        <v>237</v>
      </c>
      <c r="B149" s="146" t="s">
        <v>344</v>
      </c>
      <c r="C149" s="133" t="s">
        <v>452</v>
      </c>
      <c r="D149" s="133" t="s">
        <v>452</v>
      </c>
      <c r="E149" s="133"/>
      <c r="F149" s="133"/>
      <c r="G149" s="154">
        <v>12.378773000000001</v>
      </c>
      <c r="H149" s="133"/>
      <c r="I149" s="133"/>
      <c r="J149" s="128"/>
      <c r="K149" s="80"/>
      <c r="L149" s="81"/>
      <c r="M149" s="80"/>
      <c r="N149" s="81"/>
      <c r="O149" s="133"/>
      <c r="P149" s="133"/>
      <c r="Q149" s="133"/>
      <c r="R149" s="133"/>
      <c r="S149" s="133"/>
      <c r="T149" s="133"/>
      <c r="U149" s="133" t="s">
        <v>468</v>
      </c>
      <c r="V149" s="133"/>
      <c r="W149" s="133"/>
      <c r="X149" s="133">
        <v>5</v>
      </c>
      <c r="Y149" s="145" t="s">
        <v>343</v>
      </c>
    </row>
    <row r="150" spans="1:25" x14ac:dyDescent="0.3">
      <c r="A150" s="89" t="s">
        <v>237</v>
      </c>
      <c r="B150" s="146" t="s">
        <v>346</v>
      </c>
      <c r="C150" s="133" t="s">
        <v>452</v>
      </c>
      <c r="D150" s="133" t="s">
        <v>452</v>
      </c>
      <c r="E150" s="133"/>
      <c r="F150" s="133"/>
      <c r="G150" s="154">
        <v>10.492635</v>
      </c>
      <c r="H150" s="133"/>
      <c r="I150" s="133"/>
      <c r="J150" s="128"/>
      <c r="K150" s="80"/>
      <c r="L150" s="81"/>
      <c r="M150" s="80"/>
      <c r="N150" s="81"/>
      <c r="O150" s="133"/>
      <c r="P150" s="133"/>
      <c r="Q150" s="133"/>
      <c r="R150" s="133"/>
      <c r="S150" s="133"/>
      <c r="T150" s="133"/>
      <c r="U150" s="133" t="s">
        <v>468</v>
      </c>
      <c r="V150" s="133"/>
      <c r="W150" s="133"/>
      <c r="X150" s="133">
        <v>1</v>
      </c>
      <c r="Y150" s="145" t="s">
        <v>345</v>
      </c>
    </row>
    <row r="151" spans="1:25" x14ac:dyDescent="0.3">
      <c r="A151" s="89" t="s">
        <v>237</v>
      </c>
      <c r="B151" s="146" t="s">
        <v>348</v>
      </c>
      <c r="C151" s="133" t="s">
        <v>452</v>
      </c>
      <c r="D151" s="133" t="s">
        <v>452</v>
      </c>
      <c r="E151" s="133"/>
      <c r="F151" s="133"/>
      <c r="G151" s="154">
        <v>10.291150999999999</v>
      </c>
      <c r="H151" s="133"/>
      <c r="I151" s="133"/>
      <c r="J151" s="128"/>
      <c r="K151" s="80"/>
      <c r="L151" s="81"/>
      <c r="M151" s="80"/>
      <c r="N151" s="81"/>
      <c r="O151" s="133"/>
      <c r="P151" s="133"/>
      <c r="Q151" s="133"/>
      <c r="R151" s="133"/>
      <c r="S151" s="133"/>
      <c r="T151" s="133"/>
      <c r="U151" s="133" t="s">
        <v>468</v>
      </c>
      <c r="V151" s="133"/>
      <c r="W151" s="133"/>
      <c r="X151" s="133">
        <v>1</v>
      </c>
      <c r="Y151" s="145" t="s">
        <v>347</v>
      </c>
    </row>
    <row r="152" spans="1:25" x14ac:dyDescent="0.3">
      <c r="A152" s="89" t="s">
        <v>237</v>
      </c>
      <c r="B152" s="146" t="s">
        <v>350</v>
      </c>
      <c r="C152" s="133" t="s">
        <v>452</v>
      </c>
      <c r="D152" s="133" t="s">
        <v>452</v>
      </c>
      <c r="E152" s="133"/>
      <c r="F152" s="133"/>
      <c r="G152" s="154">
        <v>8.7321449999999992</v>
      </c>
      <c r="H152" s="133"/>
      <c r="I152" s="133"/>
      <c r="J152" s="128"/>
      <c r="K152" s="80"/>
      <c r="L152" s="81"/>
      <c r="M152" s="80"/>
      <c r="N152" s="81"/>
      <c r="O152" s="133"/>
      <c r="P152" s="133"/>
      <c r="Q152" s="133"/>
      <c r="R152" s="133"/>
      <c r="S152" s="133"/>
      <c r="T152" s="133"/>
      <c r="U152" s="133" t="s">
        <v>468</v>
      </c>
      <c r="V152" s="133"/>
      <c r="W152" s="133"/>
      <c r="X152" s="133">
        <v>1</v>
      </c>
      <c r="Y152" s="145" t="s">
        <v>349</v>
      </c>
    </row>
    <row r="153" spans="1:25" x14ac:dyDescent="0.3">
      <c r="A153" s="89" t="s">
        <v>237</v>
      </c>
      <c r="B153" s="146" t="s">
        <v>352</v>
      </c>
      <c r="C153" s="133" t="s">
        <v>452</v>
      </c>
      <c r="D153" s="133" t="s">
        <v>452</v>
      </c>
      <c r="E153" s="133"/>
      <c r="F153" s="133"/>
      <c r="G153" s="154">
        <v>8.2862720000000003</v>
      </c>
      <c r="H153" s="133"/>
      <c r="I153" s="133"/>
      <c r="J153" s="128"/>
      <c r="K153" s="80"/>
      <c r="L153" s="81"/>
      <c r="M153" s="80"/>
      <c r="N153" s="81"/>
      <c r="O153" s="133"/>
      <c r="P153" s="133"/>
      <c r="Q153" s="133"/>
      <c r="R153" s="133"/>
      <c r="S153" s="133"/>
      <c r="T153" s="133"/>
      <c r="U153" s="133" t="s">
        <v>468</v>
      </c>
      <c r="V153" s="133"/>
      <c r="W153" s="133"/>
      <c r="X153" s="133">
        <v>1</v>
      </c>
      <c r="Y153" s="145" t="s">
        <v>351</v>
      </c>
    </row>
    <row r="154" spans="1:25" x14ac:dyDescent="0.3">
      <c r="A154" s="89" t="s">
        <v>237</v>
      </c>
      <c r="B154" s="146" t="s">
        <v>354</v>
      </c>
      <c r="C154" s="133" t="s">
        <v>455</v>
      </c>
      <c r="D154" s="133" t="s">
        <v>455</v>
      </c>
      <c r="E154" s="133"/>
      <c r="F154" s="133"/>
      <c r="G154" s="154">
        <v>7.8842939999999997</v>
      </c>
      <c r="H154" s="133"/>
      <c r="I154" s="133"/>
      <c r="J154" s="128"/>
      <c r="K154" s="80"/>
      <c r="L154" s="81"/>
      <c r="M154" s="80"/>
      <c r="N154" s="81"/>
      <c r="O154" s="133"/>
      <c r="P154" s="133"/>
      <c r="Q154" s="133"/>
      <c r="R154" s="133"/>
      <c r="S154" s="133"/>
      <c r="T154" s="133"/>
      <c r="U154" s="133" t="s">
        <v>468</v>
      </c>
      <c r="V154" s="133"/>
      <c r="W154" s="133"/>
      <c r="X154" s="133">
        <v>1</v>
      </c>
      <c r="Y154" s="145" t="s">
        <v>353</v>
      </c>
    </row>
    <row r="155" spans="1:25" x14ac:dyDescent="0.3">
      <c r="A155" s="89" t="s">
        <v>237</v>
      </c>
      <c r="B155" s="146" t="s">
        <v>356</v>
      </c>
      <c r="C155" s="133" t="s">
        <v>452</v>
      </c>
      <c r="D155" s="133" t="s">
        <v>452</v>
      </c>
      <c r="E155" s="133"/>
      <c r="F155" s="133"/>
      <c r="G155" s="154">
        <v>7.6558159999999997</v>
      </c>
      <c r="H155" s="133"/>
      <c r="I155" s="133"/>
      <c r="J155" s="128"/>
      <c r="K155" s="80"/>
      <c r="L155" s="81"/>
      <c r="M155" s="80"/>
      <c r="N155" s="81"/>
      <c r="O155" s="133"/>
      <c r="P155" s="133"/>
      <c r="Q155" s="133"/>
      <c r="R155" s="133"/>
      <c r="S155" s="133"/>
      <c r="T155" s="133"/>
      <c r="U155" s="133" t="s">
        <v>468</v>
      </c>
      <c r="V155" s="133"/>
      <c r="W155" s="133"/>
      <c r="X155" s="133">
        <v>1</v>
      </c>
      <c r="Y155" s="145" t="s">
        <v>355</v>
      </c>
    </row>
    <row r="156" spans="1:25" x14ac:dyDescent="0.3">
      <c r="A156" s="89" t="s">
        <v>237</v>
      </c>
      <c r="B156" s="146" t="s">
        <v>358</v>
      </c>
      <c r="C156" s="133" t="s">
        <v>452</v>
      </c>
      <c r="D156" s="133" t="s">
        <v>452</v>
      </c>
      <c r="E156" s="133"/>
      <c r="F156" s="133"/>
      <c r="G156" s="154">
        <v>7.3372080000000004</v>
      </c>
      <c r="H156" s="133"/>
      <c r="I156" s="133"/>
      <c r="J156" s="128"/>
      <c r="K156" s="80"/>
      <c r="L156" s="81"/>
      <c r="M156" s="80"/>
      <c r="N156" s="81"/>
      <c r="O156" s="133"/>
      <c r="P156" s="133"/>
      <c r="Q156" s="133"/>
      <c r="R156" s="133"/>
      <c r="S156" s="133"/>
      <c r="T156" s="133"/>
      <c r="U156" s="133" t="s">
        <v>468</v>
      </c>
      <c r="V156" s="133"/>
      <c r="W156" s="133"/>
      <c r="X156" s="133">
        <v>2</v>
      </c>
      <c r="Y156" s="145" t="s">
        <v>357</v>
      </c>
    </row>
    <row r="157" spans="1:25" x14ac:dyDescent="0.3">
      <c r="A157" s="89" t="s">
        <v>237</v>
      </c>
      <c r="B157" s="146" t="s">
        <v>360</v>
      </c>
      <c r="C157" s="133" t="s">
        <v>452</v>
      </c>
      <c r="D157" s="133" t="s">
        <v>452</v>
      </c>
      <c r="E157" s="133"/>
      <c r="F157" s="133"/>
      <c r="G157" s="154">
        <v>6.3408759999999997</v>
      </c>
      <c r="H157" s="133"/>
      <c r="I157" s="133"/>
      <c r="J157" s="128"/>
      <c r="K157" s="80"/>
      <c r="L157" s="81"/>
      <c r="M157" s="80"/>
      <c r="N157" s="81"/>
      <c r="O157" s="133"/>
      <c r="P157" s="133"/>
      <c r="Q157" s="133"/>
      <c r="R157" s="133"/>
      <c r="S157" s="133"/>
      <c r="T157" s="133"/>
      <c r="U157" s="133" t="s">
        <v>468</v>
      </c>
      <c r="V157" s="133"/>
      <c r="W157" s="133"/>
      <c r="X157" s="133">
        <v>1</v>
      </c>
      <c r="Y157" s="145" t="s">
        <v>359</v>
      </c>
    </row>
    <row r="158" spans="1:25" x14ac:dyDescent="0.3">
      <c r="A158" s="89" t="s">
        <v>237</v>
      </c>
      <c r="B158" s="146" t="s">
        <v>362</v>
      </c>
      <c r="C158" s="133" t="s">
        <v>448</v>
      </c>
      <c r="D158" s="133" t="s">
        <v>448</v>
      </c>
      <c r="E158" s="133"/>
      <c r="F158" s="133"/>
      <c r="G158" s="154">
        <v>5.9017520000000001</v>
      </c>
      <c r="H158" s="133"/>
      <c r="I158" s="133"/>
      <c r="J158" s="128"/>
      <c r="K158" s="80"/>
      <c r="L158" s="81"/>
      <c r="M158" s="80"/>
      <c r="N158" s="81"/>
      <c r="O158" s="133"/>
      <c r="P158" s="133"/>
      <c r="Q158" s="133"/>
      <c r="R158" s="133"/>
      <c r="S158" s="133"/>
      <c r="T158" s="133"/>
      <c r="U158" s="133" t="s">
        <v>468</v>
      </c>
      <c r="V158" s="133"/>
      <c r="W158" s="133"/>
      <c r="X158" s="133">
        <v>1</v>
      </c>
      <c r="Y158" s="145" t="s">
        <v>361</v>
      </c>
    </row>
    <row r="159" spans="1:25" x14ac:dyDescent="0.3">
      <c r="A159" s="89" t="s">
        <v>237</v>
      </c>
      <c r="B159" s="146" t="s">
        <v>364</v>
      </c>
      <c r="C159" s="133" t="s">
        <v>454</v>
      </c>
      <c r="D159" s="133" t="s">
        <v>454</v>
      </c>
      <c r="E159" s="133"/>
      <c r="F159" s="133"/>
      <c r="G159" s="154">
        <v>4.4476690000000003</v>
      </c>
      <c r="H159" s="133"/>
      <c r="I159" s="133"/>
      <c r="J159" s="128"/>
      <c r="K159" s="80"/>
      <c r="L159" s="81"/>
      <c r="M159" s="80"/>
      <c r="N159" s="81"/>
      <c r="O159" s="133"/>
      <c r="P159" s="133"/>
      <c r="Q159" s="133"/>
      <c r="R159" s="133"/>
      <c r="S159" s="133"/>
      <c r="T159" s="133"/>
      <c r="U159" s="133" t="s">
        <v>468</v>
      </c>
      <c r="V159" s="133"/>
      <c r="W159" s="133"/>
      <c r="X159" s="133">
        <v>1</v>
      </c>
      <c r="Y159" s="145" t="s">
        <v>363</v>
      </c>
    </row>
    <row r="160" spans="1:25" x14ac:dyDescent="0.3">
      <c r="A160" s="89" t="s">
        <v>237</v>
      </c>
      <c r="B160" s="146" t="s">
        <v>366</v>
      </c>
      <c r="C160" s="133" t="s">
        <v>452</v>
      </c>
      <c r="D160" s="133" t="s">
        <v>452</v>
      </c>
      <c r="E160" s="133"/>
      <c r="F160" s="133"/>
      <c r="G160" s="154">
        <v>4</v>
      </c>
      <c r="H160" s="133"/>
      <c r="I160" s="133"/>
      <c r="J160" s="128"/>
      <c r="K160" s="80"/>
      <c r="L160" s="81"/>
      <c r="M160" s="80"/>
      <c r="N160" s="81"/>
      <c r="O160" s="133"/>
      <c r="P160" s="133"/>
      <c r="Q160" s="133"/>
      <c r="R160" s="133"/>
      <c r="S160" s="133"/>
      <c r="T160" s="133"/>
      <c r="U160" s="133" t="s">
        <v>468</v>
      </c>
      <c r="V160" s="133"/>
      <c r="W160" s="133"/>
      <c r="X160" s="133">
        <v>1</v>
      </c>
      <c r="Y160" s="145" t="s">
        <v>365</v>
      </c>
    </row>
    <row r="161" spans="1:25" x14ac:dyDescent="0.3">
      <c r="A161" s="89" t="s">
        <v>237</v>
      </c>
      <c r="B161" s="146" t="s">
        <v>368</v>
      </c>
      <c r="C161" s="133" t="s">
        <v>456</v>
      </c>
      <c r="D161" s="133" t="s">
        <v>456</v>
      </c>
      <c r="E161" s="133"/>
      <c r="F161" s="133"/>
      <c r="G161" s="154">
        <v>2.7373349999999999</v>
      </c>
      <c r="H161" s="133"/>
      <c r="I161" s="133"/>
      <c r="J161" s="128"/>
      <c r="K161" s="80"/>
      <c r="L161" s="81"/>
      <c r="M161" s="80"/>
      <c r="N161" s="81"/>
      <c r="O161" s="133"/>
      <c r="P161" s="133"/>
      <c r="Q161" s="133"/>
      <c r="R161" s="133"/>
      <c r="S161" s="133"/>
      <c r="T161" s="133"/>
      <c r="U161" s="133" t="s">
        <v>468</v>
      </c>
      <c r="V161" s="133"/>
      <c r="W161" s="133"/>
      <c r="X161" s="133">
        <v>1</v>
      </c>
      <c r="Y161" s="145" t="s">
        <v>367</v>
      </c>
    </row>
    <row r="162" spans="1:25" x14ac:dyDescent="0.3">
      <c r="A162" s="89" t="s">
        <v>237</v>
      </c>
      <c r="B162" s="146" t="s">
        <v>370</v>
      </c>
      <c r="C162" s="133" t="s">
        <v>455</v>
      </c>
      <c r="D162" s="133" t="s">
        <v>455</v>
      </c>
      <c r="E162" s="133"/>
      <c r="F162" s="133"/>
      <c r="G162" s="154">
        <v>1.1534880000000001</v>
      </c>
      <c r="H162" s="133"/>
      <c r="I162" s="133"/>
      <c r="J162" s="128"/>
      <c r="K162" s="80"/>
      <c r="L162" s="81"/>
      <c r="M162" s="80"/>
      <c r="N162" s="81"/>
      <c r="O162" s="133"/>
      <c r="P162" s="133"/>
      <c r="Q162" s="133"/>
      <c r="R162" s="133"/>
      <c r="S162" s="133"/>
      <c r="T162" s="133"/>
      <c r="U162" s="133" t="s">
        <v>468</v>
      </c>
      <c r="V162" s="133"/>
      <c r="W162" s="133"/>
      <c r="X162" s="133">
        <v>1</v>
      </c>
      <c r="Y162" s="145" t="s">
        <v>369</v>
      </c>
    </row>
    <row r="163" spans="1:25" x14ac:dyDescent="0.3">
      <c r="A163" s="89" t="s">
        <v>237</v>
      </c>
      <c r="B163" s="146" t="s">
        <v>372</v>
      </c>
      <c r="C163" s="133" t="s">
        <v>457</v>
      </c>
      <c r="D163" s="133" t="s">
        <v>457</v>
      </c>
      <c r="E163" s="133"/>
      <c r="F163" s="133"/>
      <c r="G163" s="154">
        <v>2.8372000000000001E-2</v>
      </c>
      <c r="H163" s="133"/>
      <c r="I163" s="133"/>
      <c r="J163" s="128"/>
      <c r="K163" s="80"/>
      <c r="L163" s="81"/>
      <c r="M163" s="80"/>
      <c r="N163" s="81"/>
      <c r="O163" s="133"/>
      <c r="P163" s="133"/>
      <c r="Q163" s="133"/>
      <c r="R163" s="133"/>
      <c r="S163" s="133"/>
      <c r="T163" s="133"/>
      <c r="U163" s="133" t="s">
        <v>468</v>
      </c>
      <c r="V163" s="133"/>
      <c r="W163" s="133"/>
      <c r="X163" s="133">
        <v>1</v>
      </c>
      <c r="Y163" s="145" t="s">
        <v>371</v>
      </c>
    </row>
    <row r="164" spans="1:25" ht="24" x14ac:dyDescent="0.3">
      <c r="A164" s="89" t="s">
        <v>237</v>
      </c>
      <c r="B164" s="146" t="s">
        <v>374</v>
      </c>
      <c r="C164" s="133" t="s">
        <v>454</v>
      </c>
      <c r="D164" s="133" t="s">
        <v>454</v>
      </c>
      <c r="E164" s="133"/>
      <c r="F164" s="133"/>
      <c r="G164" s="154">
        <v>5.3020000000000003E-3</v>
      </c>
      <c r="H164" s="133"/>
      <c r="I164" s="133"/>
      <c r="J164" s="128"/>
      <c r="K164" s="80"/>
      <c r="L164" s="81"/>
      <c r="M164" s="80"/>
      <c r="N164" s="81"/>
      <c r="O164" s="133"/>
      <c r="P164" s="133"/>
      <c r="Q164" s="133"/>
      <c r="R164" s="133"/>
      <c r="S164" s="133"/>
      <c r="T164" s="133"/>
      <c r="U164" s="133" t="s">
        <v>468</v>
      </c>
      <c r="V164" s="133"/>
      <c r="W164" s="133"/>
      <c r="X164" s="133">
        <v>1</v>
      </c>
      <c r="Y164" s="145" t="s">
        <v>373</v>
      </c>
    </row>
    <row r="165" spans="1:25" x14ac:dyDescent="0.3">
      <c r="A165" s="89" t="s">
        <v>237</v>
      </c>
      <c r="B165" s="146" t="s">
        <v>376</v>
      </c>
      <c r="C165" s="133" t="s">
        <v>452</v>
      </c>
      <c r="D165" s="133" t="s">
        <v>452</v>
      </c>
      <c r="E165" s="133"/>
      <c r="F165" s="133"/>
      <c r="G165" s="154">
        <v>0</v>
      </c>
      <c r="H165" s="133"/>
      <c r="I165" s="133"/>
      <c r="J165" s="128"/>
      <c r="K165" s="80"/>
      <c r="L165" s="81"/>
      <c r="M165" s="80"/>
      <c r="N165" s="81"/>
      <c r="O165" s="133"/>
      <c r="P165" s="133"/>
      <c r="Q165" s="133"/>
      <c r="R165" s="133"/>
      <c r="S165" s="133"/>
      <c r="T165" s="133"/>
      <c r="U165" s="133" t="s">
        <v>468</v>
      </c>
      <c r="V165" s="133"/>
      <c r="W165" s="133"/>
      <c r="X165" s="133">
        <v>1</v>
      </c>
      <c r="Y165" s="145" t="s">
        <v>375</v>
      </c>
    </row>
    <row r="166" spans="1:25" x14ac:dyDescent="0.3">
      <c r="A166" s="89" t="s">
        <v>237</v>
      </c>
      <c r="B166" s="146" t="s">
        <v>378</v>
      </c>
      <c r="C166" s="133" t="s">
        <v>452</v>
      </c>
      <c r="D166" s="133" t="s">
        <v>452</v>
      </c>
      <c r="E166" s="133"/>
      <c r="F166" s="133"/>
      <c r="G166" s="154">
        <v>0</v>
      </c>
      <c r="H166" s="133"/>
      <c r="I166" s="133"/>
      <c r="J166" s="128"/>
      <c r="K166" s="80"/>
      <c r="L166" s="81"/>
      <c r="M166" s="80"/>
      <c r="N166" s="81"/>
      <c r="O166" s="133"/>
      <c r="P166" s="133"/>
      <c r="Q166" s="133"/>
      <c r="R166" s="133"/>
      <c r="S166" s="133"/>
      <c r="T166" s="133"/>
      <c r="U166" s="133" t="s">
        <v>468</v>
      </c>
      <c r="V166" s="133"/>
      <c r="W166" s="133"/>
      <c r="X166" s="133">
        <v>1</v>
      </c>
      <c r="Y166" s="145" t="s">
        <v>377</v>
      </c>
    </row>
    <row r="167" spans="1:25" x14ac:dyDescent="0.3">
      <c r="A167" s="89" t="s">
        <v>237</v>
      </c>
      <c r="B167" s="146" t="s">
        <v>380</v>
      </c>
      <c r="C167" s="133" t="s">
        <v>452</v>
      </c>
      <c r="D167" s="133" t="s">
        <v>452</v>
      </c>
      <c r="E167" s="133"/>
      <c r="F167" s="133"/>
      <c r="G167" s="154">
        <v>0</v>
      </c>
      <c r="H167" s="133"/>
      <c r="I167" s="133"/>
      <c r="J167" s="128"/>
      <c r="K167" s="80"/>
      <c r="L167" s="81"/>
      <c r="M167" s="80"/>
      <c r="N167" s="81"/>
      <c r="O167" s="133"/>
      <c r="P167" s="133"/>
      <c r="Q167" s="133"/>
      <c r="R167" s="133"/>
      <c r="S167" s="133"/>
      <c r="T167" s="133"/>
      <c r="U167" s="133" t="s">
        <v>468</v>
      </c>
      <c r="V167" s="133"/>
      <c r="W167" s="133"/>
      <c r="X167" s="133">
        <v>1</v>
      </c>
      <c r="Y167" s="145" t="s">
        <v>379</v>
      </c>
    </row>
    <row r="168" spans="1:25" x14ac:dyDescent="0.3">
      <c r="A168" s="89" t="s">
        <v>237</v>
      </c>
      <c r="B168" s="146" t="s">
        <v>382</v>
      </c>
      <c r="C168" s="133" t="s">
        <v>452</v>
      </c>
      <c r="D168" s="133" t="s">
        <v>452</v>
      </c>
      <c r="E168" s="133"/>
      <c r="F168" s="133"/>
      <c r="G168" s="154">
        <v>0</v>
      </c>
      <c r="H168" s="133"/>
      <c r="I168" s="133"/>
      <c r="J168" s="128"/>
      <c r="K168" s="80"/>
      <c r="L168" s="81"/>
      <c r="M168" s="80"/>
      <c r="N168" s="81"/>
      <c r="O168" s="133"/>
      <c r="P168" s="133"/>
      <c r="Q168" s="133"/>
      <c r="R168" s="133"/>
      <c r="S168" s="133"/>
      <c r="T168" s="133"/>
      <c r="U168" s="133" t="s">
        <v>468</v>
      </c>
      <c r="V168" s="133"/>
      <c r="W168" s="133"/>
      <c r="X168" s="133">
        <v>1</v>
      </c>
      <c r="Y168" s="145" t="s">
        <v>381</v>
      </c>
    </row>
    <row r="169" spans="1:25" x14ac:dyDescent="0.3">
      <c r="A169" s="89" t="s">
        <v>237</v>
      </c>
      <c r="B169" s="146" t="s">
        <v>384</v>
      </c>
      <c r="C169" s="133" t="s">
        <v>452</v>
      </c>
      <c r="D169" s="133" t="s">
        <v>452</v>
      </c>
      <c r="E169" s="133"/>
      <c r="F169" s="133"/>
      <c r="G169" s="154">
        <v>0</v>
      </c>
      <c r="H169" s="133"/>
      <c r="I169" s="133"/>
      <c r="J169" s="128"/>
      <c r="K169" s="80"/>
      <c r="L169" s="81"/>
      <c r="M169" s="80"/>
      <c r="N169" s="81"/>
      <c r="O169" s="133"/>
      <c r="P169" s="133"/>
      <c r="Q169" s="133"/>
      <c r="R169" s="133"/>
      <c r="S169" s="133"/>
      <c r="T169" s="133"/>
      <c r="U169" s="133" t="s">
        <v>468</v>
      </c>
      <c r="V169" s="133"/>
      <c r="W169" s="133"/>
      <c r="X169" s="133">
        <v>1</v>
      </c>
      <c r="Y169" s="145" t="s">
        <v>383</v>
      </c>
    </row>
    <row r="170" spans="1:25" x14ac:dyDescent="0.3">
      <c r="A170" s="89" t="s">
        <v>237</v>
      </c>
      <c r="B170" s="146" t="s">
        <v>386</v>
      </c>
      <c r="C170" s="133" t="s">
        <v>452</v>
      </c>
      <c r="D170" s="133" t="s">
        <v>452</v>
      </c>
      <c r="E170" s="133"/>
      <c r="F170" s="133"/>
      <c r="G170" s="154">
        <v>0</v>
      </c>
      <c r="H170" s="133"/>
      <c r="I170" s="133"/>
      <c r="J170" s="128"/>
      <c r="K170" s="80"/>
      <c r="L170" s="81"/>
      <c r="M170" s="80"/>
      <c r="N170" s="81"/>
      <c r="O170" s="133"/>
      <c r="P170" s="133"/>
      <c r="Q170" s="133"/>
      <c r="R170" s="133"/>
      <c r="S170" s="133"/>
      <c r="T170" s="133"/>
      <c r="U170" s="133" t="s">
        <v>468</v>
      </c>
      <c r="V170" s="133"/>
      <c r="W170" s="133"/>
      <c r="X170" s="133">
        <v>1</v>
      </c>
      <c r="Y170" s="145" t="s">
        <v>385</v>
      </c>
    </row>
    <row r="171" spans="1:25" x14ac:dyDescent="0.3">
      <c r="A171" s="89" t="s">
        <v>237</v>
      </c>
      <c r="B171" s="146" t="s">
        <v>387</v>
      </c>
      <c r="C171" s="133" t="s">
        <v>452</v>
      </c>
      <c r="D171" s="133" t="s">
        <v>452</v>
      </c>
      <c r="E171" s="133"/>
      <c r="F171" s="133"/>
      <c r="G171" s="154">
        <v>0</v>
      </c>
      <c r="H171" s="133"/>
      <c r="I171" s="133"/>
      <c r="J171" s="128"/>
      <c r="K171" s="80"/>
      <c r="L171" s="81"/>
      <c r="M171" s="80"/>
      <c r="N171" s="81"/>
      <c r="O171" s="133"/>
      <c r="P171" s="133"/>
      <c r="Q171" s="133"/>
      <c r="R171" s="133"/>
      <c r="S171" s="133"/>
      <c r="T171" s="133"/>
      <c r="U171" s="133" t="s">
        <v>468</v>
      </c>
      <c r="V171" s="133"/>
      <c r="W171" s="133"/>
      <c r="X171" s="133">
        <v>1</v>
      </c>
      <c r="Y171" s="145" t="s">
        <v>231</v>
      </c>
    </row>
    <row r="172" spans="1:25" x14ac:dyDescent="0.3">
      <c r="A172" s="89" t="s">
        <v>232</v>
      </c>
      <c r="B172" s="146" t="s">
        <v>389</v>
      </c>
      <c r="C172" s="133" t="s">
        <v>452</v>
      </c>
      <c r="D172" s="133" t="s">
        <v>452</v>
      </c>
      <c r="E172" s="133"/>
      <c r="F172" s="133"/>
      <c r="G172" s="154">
        <v>6.6911589999999999</v>
      </c>
      <c r="H172" s="133"/>
      <c r="I172" s="133"/>
      <c r="J172" s="128"/>
      <c r="K172" s="80"/>
      <c r="L172" s="81"/>
      <c r="M172" s="80"/>
      <c r="N172" s="81"/>
      <c r="O172" s="133"/>
      <c r="P172" s="133"/>
      <c r="Q172" s="133"/>
      <c r="R172" s="133"/>
      <c r="S172" s="133"/>
      <c r="T172" s="133"/>
      <c r="U172" s="133" t="s">
        <v>468</v>
      </c>
      <c r="V172" s="133"/>
      <c r="W172" s="133"/>
      <c r="X172" s="133">
        <v>1</v>
      </c>
      <c r="Y172" s="145" t="s">
        <v>388</v>
      </c>
    </row>
    <row r="173" spans="1:25" x14ac:dyDescent="0.3">
      <c r="A173" s="89" t="s">
        <v>44</v>
      </c>
      <c r="B173" s="146" t="s">
        <v>391</v>
      </c>
      <c r="C173" s="133" t="s">
        <v>401</v>
      </c>
      <c r="D173" s="133" t="s">
        <v>401</v>
      </c>
      <c r="E173" s="133"/>
      <c r="F173" s="133"/>
      <c r="G173" s="154">
        <v>0</v>
      </c>
      <c r="H173" s="133"/>
      <c r="I173" s="133"/>
      <c r="J173" s="128"/>
      <c r="K173" s="80"/>
      <c r="L173" s="81"/>
      <c r="M173" s="80"/>
      <c r="N173" s="81"/>
      <c r="O173" s="133"/>
      <c r="P173" s="133"/>
      <c r="Q173" s="133"/>
      <c r="R173" s="133"/>
      <c r="S173" s="133"/>
      <c r="T173" s="133"/>
      <c r="U173" s="133" t="s">
        <v>468</v>
      </c>
      <c r="V173" s="133"/>
      <c r="W173" s="133"/>
      <c r="X173" s="133">
        <v>1</v>
      </c>
      <c r="Y173" s="145" t="s">
        <v>390</v>
      </c>
    </row>
    <row r="174" spans="1:25" x14ac:dyDescent="0.3">
      <c r="A174" s="89" t="s">
        <v>44</v>
      </c>
      <c r="B174" s="146" t="s">
        <v>393</v>
      </c>
      <c r="C174" s="133" t="s">
        <v>458</v>
      </c>
      <c r="D174" s="133" t="s">
        <v>458</v>
      </c>
      <c r="E174" s="133"/>
      <c r="F174" s="133"/>
      <c r="G174" s="154">
        <v>0</v>
      </c>
      <c r="H174" s="133"/>
      <c r="I174" s="133"/>
      <c r="J174" s="128"/>
      <c r="K174" s="80"/>
      <c r="L174" s="81"/>
      <c r="M174" s="80"/>
      <c r="N174" s="81"/>
      <c r="O174" s="133"/>
      <c r="P174" s="133"/>
      <c r="Q174" s="133"/>
      <c r="R174" s="133"/>
      <c r="S174" s="133"/>
      <c r="T174" s="133"/>
      <c r="U174" s="133" t="s">
        <v>468</v>
      </c>
      <c r="V174" s="133"/>
      <c r="W174" s="133"/>
      <c r="X174" s="133">
        <v>1</v>
      </c>
      <c r="Y174" s="145" t="s">
        <v>392</v>
      </c>
    </row>
    <row r="175" spans="1:25" x14ac:dyDescent="0.3">
      <c r="A175" s="89" t="s">
        <v>44</v>
      </c>
      <c r="B175" s="146" t="s">
        <v>395</v>
      </c>
      <c r="C175" s="133" t="s">
        <v>395</v>
      </c>
      <c r="D175" s="133" t="s">
        <v>395</v>
      </c>
      <c r="E175" s="133"/>
      <c r="F175" s="133"/>
      <c r="G175" s="154">
        <v>0</v>
      </c>
      <c r="H175" s="133"/>
      <c r="I175" s="133"/>
      <c r="J175" s="128"/>
      <c r="K175" s="80"/>
      <c r="L175" s="81"/>
      <c r="M175" s="80"/>
      <c r="N175" s="81"/>
      <c r="O175" s="133"/>
      <c r="P175" s="133"/>
      <c r="Q175" s="133"/>
      <c r="R175" s="133"/>
      <c r="S175" s="133"/>
      <c r="T175" s="133"/>
      <c r="U175" s="133" t="s">
        <v>468</v>
      </c>
      <c r="V175" s="133"/>
      <c r="W175" s="133"/>
      <c r="X175" s="133">
        <v>1</v>
      </c>
      <c r="Y175" s="145" t="s">
        <v>394</v>
      </c>
    </row>
    <row r="176" spans="1:25" x14ac:dyDescent="0.3">
      <c r="A176" s="89" t="s">
        <v>44</v>
      </c>
      <c r="B176" s="146" t="s">
        <v>397</v>
      </c>
      <c r="C176" s="133" t="s">
        <v>460</v>
      </c>
      <c r="D176" s="133" t="s">
        <v>460</v>
      </c>
      <c r="E176" s="133"/>
      <c r="F176" s="133"/>
      <c r="G176" s="154">
        <v>0</v>
      </c>
      <c r="H176" s="133"/>
      <c r="I176" s="133"/>
      <c r="J176" s="128"/>
      <c r="K176" s="80"/>
      <c r="L176" s="81"/>
      <c r="M176" s="80"/>
      <c r="N176" s="81"/>
      <c r="O176" s="133"/>
      <c r="P176" s="133"/>
      <c r="Q176" s="133"/>
      <c r="R176" s="133"/>
      <c r="S176" s="133"/>
      <c r="T176" s="133"/>
      <c r="U176" s="133" t="s">
        <v>468</v>
      </c>
      <c r="V176" s="133"/>
      <c r="W176" s="133"/>
      <c r="X176" s="133">
        <v>1</v>
      </c>
      <c r="Y176" s="145" t="s">
        <v>396</v>
      </c>
    </row>
    <row r="177" spans="1:25" x14ac:dyDescent="0.3">
      <c r="A177" s="89" t="s">
        <v>108</v>
      </c>
      <c r="B177" s="146" t="s">
        <v>399</v>
      </c>
      <c r="C177" s="133" t="s">
        <v>459</v>
      </c>
      <c r="D177" s="133" t="s">
        <v>459</v>
      </c>
      <c r="E177" s="133"/>
      <c r="F177" s="133"/>
      <c r="G177" s="154">
        <v>0</v>
      </c>
      <c r="H177" s="133"/>
      <c r="I177" s="133"/>
      <c r="J177" s="128"/>
      <c r="K177" s="80"/>
      <c r="L177" s="81"/>
      <c r="M177" s="80"/>
      <c r="N177" s="81"/>
      <c r="O177" s="133"/>
      <c r="P177" s="133"/>
      <c r="Q177" s="133"/>
      <c r="R177" s="133"/>
      <c r="S177" s="133"/>
      <c r="T177" s="133"/>
      <c r="U177" s="133" t="s">
        <v>468</v>
      </c>
      <c r="V177" s="133"/>
      <c r="W177" s="133"/>
      <c r="X177" s="133">
        <v>1</v>
      </c>
      <c r="Y177" s="145" t="s">
        <v>398</v>
      </c>
    </row>
    <row r="178" spans="1:25" x14ac:dyDescent="0.3">
      <c r="A178" s="89" t="s">
        <v>44</v>
      </c>
      <c r="B178" s="146" t="s">
        <v>401</v>
      </c>
      <c r="C178" s="133" t="s">
        <v>453</v>
      </c>
      <c r="D178" s="133" t="s">
        <v>453</v>
      </c>
      <c r="E178" s="133"/>
      <c r="F178" s="133"/>
      <c r="G178" s="154">
        <v>0.15557099999999999</v>
      </c>
      <c r="H178" s="133"/>
      <c r="I178" s="133"/>
      <c r="J178" s="128"/>
      <c r="K178" s="80"/>
      <c r="L178" s="81"/>
      <c r="M178" s="80"/>
      <c r="N178" s="81"/>
      <c r="O178" s="133"/>
      <c r="P178" s="133"/>
      <c r="Q178" s="133"/>
      <c r="R178" s="133"/>
      <c r="S178" s="133"/>
      <c r="T178" s="133"/>
      <c r="U178" s="133" t="s">
        <v>468</v>
      </c>
      <c r="V178" s="133"/>
      <c r="W178" s="133"/>
      <c r="X178" s="133">
        <v>1</v>
      </c>
      <c r="Y178" s="145" t="s">
        <v>400</v>
      </c>
    </row>
    <row r="179" spans="1:25" ht="15" thickBot="1" x14ac:dyDescent="0.35">
      <c r="A179" s="129" t="s">
        <v>424</v>
      </c>
      <c r="B179" s="130"/>
      <c r="C179" s="130"/>
      <c r="D179" s="130"/>
      <c r="E179" s="131">
        <f>SUM(E4:E178)</f>
        <v>6398.0555555555575</v>
      </c>
      <c r="F179" s="131">
        <f>SUM(F4:F178)</f>
        <v>5716.5</v>
      </c>
      <c r="G179" s="131">
        <f>SUM(G4:G178)</f>
        <v>3626.2513470000008</v>
      </c>
      <c r="H179" s="131"/>
      <c r="I179" s="131">
        <f>SUM(I4:I96)</f>
        <v>8516.9745555555564</v>
      </c>
      <c r="J179" s="131"/>
      <c r="K179" s="130"/>
      <c r="L179" s="130"/>
      <c r="M179" s="130"/>
      <c r="N179" s="132"/>
      <c r="O179" s="130"/>
      <c r="P179" s="130"/>
      <c r="Q179" s="130"/>
      <c r="R179" s="130"/>
      <c r="S179" s="130"/>
      <c r="T179" s="130"/>
      <c r="U179" s="130"/>
      <c r="V179" s="130"/>
      <c r="W179" s="130"/>
      <c r="X179" s="130"/>
      <c r="Y179" s="132"/>
    </row>
  </sheetData>
  <mergeCells count="17">
    <mergeCell ref="U1:U3"/>
    <mergeCell ref="V1:V3"/>
    <mergeCell ref="W1:W3"/>
    <mergeCell ref="X1:X3"/>
    <mergeCell ref="Y1:Y3"/>
    <mergeCell ref="A1:A3"/>
    <mergeCell ref="B1:B3"/>
    <mergeCell ref="K1:L1"/>
    <mergeCell ref="M1:N1"/>
    <mergeCell ref="C1:C3"/>
    <mergeCell ref="D1:D3"/>
    <mergeCell ref="T1:T3"/>
    <mergeCell ref="O1:O3"/>
    <mergeCell ref="P1:P3"/>
    <mergeCell ref="Q1:Q3"/>
    <mergeCell ref="R1:R3"/>
    <mergeCell ref="S1:S3"/>
  </mergeCells>
  <conditionalFormatting sqref="X4:X178">
    <cfRule type="cellIs" dxfId="1" priority="1" operator="equal">
      <formula>""""""</formula>
    </cfRule>
    <cfRule type="cellIs" dxfId="0" priority="2" operator="greaterThan">
      <formula>0</formula>
    </cfRule>
  </conditionalFormatting>
  <pageMargins left="0.7" right="0.7" top="0.78740157499999996" bottom="0.78740157499999996" header="0.3" footer="0.3"/>
  <pageSetup paperSize="9" scale="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Seznam OM</vt:lpstr>
      <vt:lpstr>Spotřeba tepla</vt:lpstr>
      <vt:lpstr>Spotřeba zemního plynu</vt:lpstr>
      <vt:lpstr>Spotřeba elektřiny</vt:lpstr>
      <vt:lpstr>List1</vt:lpstr>
      <vt:lpstr>Souhrn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Řehák</dc:creator>
  <cp:lastModifiedBy>Pavel Řehák</cp:lastModifiedBy>
  <cp:lastPrinted>2022-03-07T13:40:00Z</cp:lastPrinted>
  <dcterms:created xsi:type="dcterms:W3CDTF">2021-10-19T14:24:08Z</dcterms:created>
  <dcterms:modified xsi:type="dcterms:W3CDTF">2023-02-06T11:03:08Z</dcterms:modified>
</cp:coreProperties>
</file>